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jggomez\Desktop\Temporal\Master\B Conceptos\"/>
    </mc:Choice>
  </mc:AlternateContent>
  <bookViews>
    <workbookView xWindow="240" yWindow="345" windowWidth="9630" windowHeight="1515" tabRatio="760" activeTab="3"/>
  </bookViews>
  <sheets>
    <sheet name="Actvidad de la Empresa" sheetId="7" r:id="rId1"/>
    <sheet name="Gtos Periodo" sheetId="17" r:id="rId2"/>
    <sheet name="Estimación y Asignacion Costes" sheetId="5" r:id="rId3"/>
    <sheet name="Costes Fijos y Variables" sheetId="20" r:id="rId4"/>
    <sheet name="Notas Dpto Alamcenaje" sheetId="8" r:id="rId5"/>
    <sheet name="Notas Dpto de Transportes" sheetId="12" r:id="rId6"/>
    <sheet name="Modelo de Cta Analitica" sheetId="19" r:id="rId7"/>
    <sheet name="Análisis de Rdtos y Rtdos" sheetId="21" r:id="rId8"/>
    <sheet name="Gtos de los Dpots Visio" sheetId="3" r:id="rId9"/>
  </sheets>
  <definedNames>
    <definedName name="AlmacenNotaA">'Notas Dpto Alamcenaje'!$A$1:$E$1</definedName>
    <definedName name="AlmacenNotaB1">'Notas Dpto Alamcenaje'!$I$1:$N$1</definedName>
    <definedName name="gasoil">'Actvidad de la Empresa'!$B$17</definedName>
    <definedName name="gasolina">'Actvidad de la Empresa'!$B$18</definedName>
    <definedName name="NotaF2">'Notas Dpto de Transportes'!$I$68</definedName>
    <definedName name="TransA">'Notas Dpto de Transportes'!$A$1</definedName>
    <definedName name="TransB1">'Notas Dpto de Transportes'!$I$2</definedName>
    <definedName name="TransB2">'Notas Dpto de Transportes'!$O$2</definedName>
    <definedName name="TransD">'Notas Dpto de Transportes'!$I$27</definedName>
    <definedName name="TransE">'Notas Dpto de Transportes'!$I$39</definedName>
    <definedName name="TransF1">'Notas Dpto de Transportes'!$I$53</definedName>
    <definedName name="TransF2">'Notas Dpto de Transportes'!$I$68</definedName>
  </definedNames>
  <calcPr calcId="152511"/>
</workbook>
</file>

<file path=xl/calcChain.xml><?xml version="1.0" encoding="utf-8"?>
<calcChain xmlns="http://schemas.openxmlformats.org/spreadsheetml/2006/main">
  <c r="C6" i="5" l="1"/>
  <c r="C12" i="17" l="1"/>
  <c r="D25" i="19" l="1"/>
  <c r="B25" i="19"/>
  <c r="H6" i="21" l="1"/>
  <c r="D13" i="8" l="1"/>
  <c r="D12" i="8"/>
  <c r="D11" i="8"/>
  <c r="D10" i="8"/>
  <c r="D9" i="8"/>
  <c r="D8" i="8"/>
  <c r="D7" i="8"/>
  <c r="D6" i="8"/>
  <c r="D5" i="8"/>
  <c r="G38" i="5"/>
  <c r="G37" i="5"/>
  <c r="G36" i="5"/>
  <c r="G35" i="5"/>
  <c r="G34" i="5"/>
  <c r="G33" i="5"/>
  <c r="G32" i="5"/>
  <c r="G10" i="21" l="1"/>
  <c r="D10" i="21"/>
  <c r="C8" i="21" l="1"/>
  <c r="J21" i="19" l="1"/>
  <c r="J9" i="19"/>
  <c r="J7" i="19"/>
  <c r="H10" i="21" l="1"/>
  <c r="D23" i="19"/>
  <c r="B23" i="19"/>
  <c r="F6" i="19"/>
  <c r="B8" i="19"/>
  <c r="B7" i="19"/>
  <c r="L2" i="19" s="1"/>
  <c r="B6" i="19"/>
  <c r="L3" i="19" s="1"/>
  <c r="J12" i="7" l="1"/>
  <c r="D6" i="21" s="1"/>
  <c r="K10" i="7"/>
  <c r="K14" i="7" s="1"/>
  <c r="J10" i="7"/>
  <c r="M7" i="7"/>
  <c r="M12" i="7" s="1"/>
  <c r="K9" i="7"/>
  <c r="M9" i="7" l="1"/>
  <c r="G6" i="21"/>
  <c r="N11" i="7"/>
  <c r="K15" i="7"/>
  <c r="F7" i="21" s="1"/>
  <c r="M27" i="8"/>
  <c r="D24" i="19"/>
  <c r="D26" i="19" s="1"/>
  <c r="K13" i="19" s="1"/>
  <c r="F6" i="21"/>
  <c r="K11" i="7"/>
  <c r="N14" i="7"/>
  <c r="N15" i="7" s="1"/>
  <c r="O14" i="7"/>
  <c r="M14" i="7"/>
  <c r="K6" i="7"/>
  <c r="J14" i="7"/>
  <c r="N6" i="7"/>
  <c r="N9" i="7"/>
  <c r="N10" i="7" s="1"/>
  <c r="K27" i="8" l="1"/>
  <c r="L28" i="8" s="1"/>
  <c r="L30" i="8" s="1"/>
  <c r="C10" i="5" s="1"/>
  <c r="E6" i="21"/>
  <c r="B24" i="19"/>
  <c r="B26" i="19" s="1"/>
  <c r="K11" i="19" s="1"/>
  <c r="F7" i="19"/>
  <c r="G14" i="19" s="1"/>
  <c r="G17" i="19" s="1"/>
  <c r="G18" i="19" s="1"/>
  <c r="F14" i="19" l="1"/>
  <c r="F17" i="19" s="1"/>
  <c r="F18" i="19" s="1"/>
  <c r="G5" i="19"/>
  <c r="C31" i="19" l="1"/>
  <c r="K15" i="19" l="1"/>
  <c r="L15" i="19" s="1"/>
  <c r="D28" i="19"/>
  <c r="K14" i="19" l="1"/>
  <c r="L13" i="19" s="1"/>
  <c r="D6" i="19"/>
  <c r="D7" i="19" l="1"/>
  <c r="D8" i="19" s="1"/>
  <c r="D15" i="19"/>
  <c r="D19" i="19"/>
  <c r="N51" i="20"/>
  <c r="K51" i="20"/>
  <c r="H51" i="20"/>
  <c r="E51" i="20"/>
  <c r="N47" i="20"/>
  <c r="K47" i="20"/>
  <c r="H47" i="20"/>
  <c r="E47" i="20"/>
  <c r="N39" i="20"/>
  <c r="K39" i="20"/>
  <c r="H39" i="20"/>
  <c r="E39" i="20"/>
  <c r="N31" i="20"/>
  <c r="K31" i="20"/>
  <c r="H31" i="20"/>
  <c r="E31" i="20"/>
  <c r="N26" i="20"/>
  <c r="K26" i="20"/>
  <c r="H26" i="20"/>
  <c r="E26" i="20"/>
  <c r="N13" i="20"/>
  <c r="K13" i="20"/>
  <c r="H13" i="20"/>
  <c r="E13" i="20"/>
  <c r="M50" i="20"/>
  <c r="O50" i="20" s="1"/>
  <c r="J50" i="20"/>
  <c r="L50" i="20" s="1"/>
  <c r="G50" i="20"/>
  <c r="I50" i="20" s="1"/>
  <c r="D50" i="20"/>
  <c r="F50" i="20" s="1"/>
  <c r="M49" i="20"/>
  <c r="O49" i="20" s="1"/>
  <c r="J49" i="20"/>
  <c r="L49" i="20" s="1"/>
  <c r="G49" i="20"/>
  <c r="I49" i="20" s="1"/>
  <c r="M48" i="20"/>
  <c r="J48" i="20"/>
  <c r="M46" i="20"/>
  <c r="O46" i="20" s="1"/>
  <c r="J46" i="20"/>
  <c r="L46" i="20" s="1"/>
  <c r="D46" i="20"/>
  <c r="F46" i="20" s="1"/>
  <c r="M45" i="20"/>
  <c r="O45" i="20" s="1"/>
  <c r="J45" i="20"/>
  <c r="L45" i="20" s="1"/>
  <c r="M44" i="20"/>
  <c r="O44" i="20" s="1"/>
  <c r="J44" i="20"/>
  <c r="L44" i="20" s="1"/>
  <c r="D44" i="20"/>
  <c r="F44" i="20" s="1"/>
  <c r="M43" i="20"/>
  <c r="O43" i="20" s="1"/>
  <c r="J43" i="20"/>
  <c r="L43" i="20" s="1"/>
  <c r="D43" i="20"/>
  <c r="F43" i="20" s="1"/>
  <c r="M42" i="20"/>
  <c r="O42" i="20" s="1"/>
  <c r="J42" i="20"/>
  <c r="L42" i="20" s="1"/>
  <c r="D42" i="20"/>
  <c r="F42" i="20" s="1"/>
  <c r="M41" i="20"/>
  <c r="O41" i="20" s="1"/>
  <c r="J41" i="20"/>
  <c r="L41" i="20" s="1"/>
  <c r="D41" i="20"/>
  <c r="F41" i="20" s="1"/>
  <c r="M40" i="20"/>
  <c r="J40" i="20"/>
  <c r="D40" i="20"/>
  <c r="M38" i="20"/>
  <c r="O38" i="20" s="1"/>
  <c r="J38" i="20"/>
  <c r="L38" i="20" s="1"/>
  <c r="M37" i="20"/>
  <c r="O37" i="20" s="1"/>
  <c r="J37" i="20"/>
  <c r="L37" i="20" s="1"/>
  <c r="M36" i="20"/>
  <c r="O36" i="20" s="1"/>
  <c r="J36" i="20"/>
  <c r="L36" i="20" s="1"/>
  <c r="M35" i="20"/>
  <c r="O35" i="20" s="1"/>
  <c r="J35" i="20"/>
  <c r="L35" i="20" s="1"/>
  <c r="M34" i="20"/>
  <c r="O34" i="20" s="1"/>
  <c r="J34" i="20"/>
  <c r="L34" i="20" s="1"/>
  <c r="M33" i="20"/>
  <c r="O33" i="20" s="1"/>
  <c r="J33" i="20"/>
  <c r="L33" i="20" s="1"/>
  <c r="M32" i="20"/>
  <c r="J32" i="20"/>
  <c r="M30" i="20"/>
  <c r="O30" i="20" s="1"/>
  <c r="J30" i="20"/>
  <c r="L30" i="20" s="1"/>
  <c r="M29" i="20"/>
  <c r="O29" i="20" s="1"/>
  <c r="J29" i="20"/>
  <c r="L29" i="20" s="1"/>
  <c r="M28" i="20"/>
  <c r="O28" i="20" s="1"/>
  <c r="J28" i="20"/>
  <c r="L28" i="20" s="1"/>
  <c r="M27" i="20"/>
  <c r="J27" i="20"/>
  <c r="G27" i="20"/>
  <c r="M25" i="20"/>
  <c r="O25" i="20" s="1"/>
  <c r="J25" i="20"/>
  <c r="L25" i="20" s="1"/>
  <c r="G25" i="20"/>
  <c r="I25" i="20" s="1"/>
  <c r="M24" i="20"/>
  <c r="O24" i="20" s="1"/>
  <c r="J24" i="20"/>
  <c r="L24" i="20" s="1"/>
  <c r="G24" i="20"/>
  <c r="I24" i="20" s="1"/>
  <c r="M23" i="20"/>
  <c r="O23" i="20" s="1"/>
  <c r="J23" i="20"/>
  <c r="L23" i="20" s="1"/>
  <c r="M22" i="20"/>
  <c r="O22" i="20" s="1"/>
  <c r="J22" i="20"/>
  <c r="L22" i="20" s="1"/>
  <c r="M21" i="20"/>
  <c r="O21" i="20" s="1"/>
  <c r="J21" i="20"/>
  <c r="L21" i="20" s="1"/>
  <c r="G21" i="20"/>
  <c r="I21" i="20" s="1"/>
  <c r="M20" i="20"/>
  <c r="O20" i="20" s="1"/>
  <c r="J20" i="20"/>
  <c r="L20" i="20" s="1"/>
  <c r="G20" i="20"/>
  <c r="I20" i="20" s="1"/>
  <c r="M19" i="20"/>
  <c r="O19" i="20" s="1"/>
  <c r="J19" i="20"/>
  <c r="L19" i="20" s="1"/>
  <c r="G19" i="20"/>
  <c r="I19" i="20" s="1"/>
  <c r="M18" i="20"/>
  <c r="O18" i="20" s="1"/>
  <c r="J18" i="20"/>
  <c r="L18" i="20" s="1"/>
  <c r="G18" i="20"/>
  <c r="I18" i="20" s="1"/>
  <c r="M17" i="20"/>
  <c r="O17" i="20" s="1"/>
  <c r="J17" i="20"/>
  <c r="L17" i="20" s="1"/>
  <c r="G17" i="20"/>
  <c r="I17" i="20" s="1"/>
  <c r="M16" i="20"/>
  <c r="O16" i="20" s="1"/>
  <c r="J16" i="20"/>
  <c r="L16" i="20" s="1"/>
  <c r="G16" i="20"/>
  <c r="I16" i="20" s="1"/>
  <c r="M15" i="20"/>
  <c r="O15" i="20" s="1"/>
  <c r="J15" i="20"/>
  <c r="L15" i="20" s="1"/>
  <c r="M14" i="20"/>
  <c r="J14" i="20"/>
  <c r="M12" i="20"/>
  <c r="O12" i="20" s="1"/>
  <c r="J12" i="20"/>
  <c r="L12" i="20" s="1"/>
  <c r="G12" i="20"/>
  <c r="I12" i="20" s="1"/>
  <c r="M11" i="20"/>
  <c r="O11" i="20" s="1"/>
  <c r="J11" i="20"/>
  <c r="L11" i="20" s="1"/>
  <c r="G11" i="20"/>
  <c r="I11" i="20" s="1"/>
  <c r="M10" i="20"/>
  <c r="O10" i="20" s="1"/>
  <c r="J10" i="20"/>
  <c r="L10" i="20" s="1"/>
  <c r="G10" i="20"/>
  <c r="I10" i="20" s="1"/>
  <c r="M9" i="20"/>
  <c r="O9" i="20" s="1"/>
  <c r="J9" i="20"/>
  <c r="L9" i="20" s="1"/>
  <c r="G9" i="20"/>
  <c r="I9" i="20" s="1"/>
  <c r="M8" i="20"/>
  <c r="O8" i="20" s="1"/>
  <c r="J8" i="20"/>
  <c r="L8" i="20" s="1"/>
  <c r="M7" i="20"/>
  <c r="O7" i="20" s="1"/>
  <c r="J7" i="20"/>
  <c r="L7" i="20" s="1"/>
  <c r="M6" i="20"/>
  <c r="J6" i="20"/>
  <c r="D30" i="20"/>
  <c r="F30" i="20" s="1"/>
  <c r="D29" i="20"/>
  <c r="F29" i="20" s="1"/>
  <c r="D28" i="20"/>
  <c r="F28" i="20" s="1"/>
  <c r="D27" i="20"/>
  <c r="D25" i="20"/>
  <c r="F25" i="20" s="1"/>
  <c r="D24" i="20"/>
  <c r="F24" i="20" s="1"/>
  <c r="D23" i="20"/>
  <c r="F23" i="20" s="1"/>
  <c r="D21" i="20"/>
  <c r="F21" i="20" s="1"/>
  <c r="D20" i="20"/>
  <c r="F20" i="20" s="1"/>
  <c r="D19" i="20"/>
  <c r="F19" i="20" s="1"/>
  <c r="D18" i="20"/>
  <c r="F18" i="20" s="1"/>
  <c r="D17" i="20"/>
  <c r="F17" i="20" s="1"/>
  <c r="D16" i="20"/>
  <c r="F16" i="20" s="1"/>
  <c r="D14" i="20"/>
  <c r="F14" i="20" s="1"/>
  <c r="J13" i="20" l="1"/>
  <c r="B16" i="19"/>
  <c r="D31" i="20"/>
  <c r="F27" i="20"/>
  <c r="F31" i="20" s="1"/>
  <c r="M13" i="20"/>
  <c r="J26" i="20"/>
  <c r="L14" i="20"/>
  <c r="L26" i="20" s="1"/>
  <c r="J31" i="20"/>
  <c r="L27" i="20"/>
  <c r="L31" i="20" s="1"/>
  <c r="J39" i="20"/>
  <c r="L32" i="20"/>
  <c r="L39" i="20" s="1"/>
  <c r="F40" i="20"/>
  <c r="J47" i="20"/>
  <c r="L40" i="20"/>
  <c r="L47" i="20" s="1"/>
  <c r="J51" i="20"/>
  <c r="L48" i="20"/>
  <c r="L51" i="20" s="1"/>
  <c r="L6" i="20"/>
  <c r="L13" i="20" s="1"/>
  <c r="M26" i="20"/>
  <c r="O14" i="20"/>
  <c r="O26" i="20" s="1"/>
  <c r="I27" i="20"/>
  <c r="M31" i="20"/>
  <c r="O27" i="20"/>
  <c r="O31" i="20" s="1"/>
  <c r="O32" i="20"/>
  <c r="O39" i="20" s="1"/>
  <c r="M39" i="20"/>
  <c r="O40" i="20"/>
  <c r="O47" i="20" s="1"/>
  <c r="M47" i="20"/>
  <c r="O48" i="20"/>
  <c r="M51" i="20"/>
  <c r="O6" i="20"/>
  <c r="B20" i="19"/>
  <c r="O51" i="20"/>
  <c r="N52" i="20"/>
  <c r="C25" i="21" s="1"/>
  <c r="H52" i="20"/>
  <c r="K52" i="20"/>
  <c r="C24" i="21" s="1"/>
  <c r="E52" i="20"/>
  <c r="O13" i="20"/>
  <c r="D12" i="20"/>
  <c r="F12" i="20" s="1"/>
  <c r="D11" i="20"/>
  <c r="F11" i="20" s="1"/>
  <c r="D10" i="20"/>
  <c r="F10" i="20" s="1"/>
  <c r="D9" i="20"/>
  <c r="F9" i="20" s="1"/>
  <c r="D7" i="20"/>
  <c r="F7" i="20" s="1"/>
  <c r="D6" i="20"/>
  <c r="F6" i="20" s="1"/>
  <c r="C21" i="20"/>
  <c r="M52" i="20" l="1"/>
  <c r="N53" i="20" s="1"/>
  <c r="C23" i="21"/>
  <c r="B10" i="19"/>
  <c r="D19" i="21"/>
  <c r="G19" i="21"/>
  <c r="F10" i="19"/>
  <c r="J52" i="20"/>
  <c r="B17" i="19"/>
  <c r="K9" i="19"/>
  <c r="L9" i="19" s="1"/>
  <c r="B13" i="19"/>
  <c r="K7" i="19"/>
  <c r="L7" i="19" s="1"/>
  <c r="O52" i="20"/>
  <c r="O53" i="20" s="1"/>
  <c r="L52" i="20"/>
  <c r="N50" i="5"/>
  <c r="N49" i="5"/>
  <c r="N48" i="5"/>
  <c r="N51" i="5" l="1"/>
  <c r="M53" i="20"/>
  <c r="C19" i="21"/>
  <c r="H19" i="21"/>
  <c r="L53" i="20"/>
  <c r="M56" i="20"/>
  <c r="K53" i="20"/>
  <c r="J53" i="20" s="1"/>
  <c r="N46" i="5"/>
  <c r="N45" i="5"/>
  <c r="N44" i="5"/>
  <c r="N43" i="5"/>
  <c r="N42" i="5"/>
  <c r="N41" i="5"/>
  <c r="N40" i="5"/>
  <c r="N38" i="5"/>
  <c r="N37" i="5"/>
  <c r="N36" i="5"/>
  <c r="N35" i="5"/>
  <c r="N34" i="5"/>
  <c r="N33" i="5"/>
  <c r="N32" i="5"/>
  <c r="N30" i="5"/>
  <c r="N29" i="5"/>
  <c r="N28" i="5"/>
  <c r="N27" i="5"/>
  <c r="N25" i="5"/>
  <c r="N24" i="5"/>
  <c r="N23" i="5"/>
  <c r="N22" i="5"/>
  <c r="N21" i="5"/>
  <c r="O21" i="5" s="1"/>
  <c r="N20" i="5"/>
  <c r="N19" i="5"/>
  <c r="N18" i="5"/>
  <c r="N17" i="5"/>
  <c r="N16" i="5"/>
  <c r="N15" i="5"/>
  <c r="N14" i="5"/>
  <c r="N7" i="5"/>
  <c r="N8" i="5"/>
  <c r="N9" i="5"/>
  <c r="N10" i="5"/>
  <c r="N11" i="5"/>
  <c r="N12" i="5"/>
  <c r="N6" i="5"/>
  <c r="N47" i="5" l="1"/>
  <c r="N13" i="5"/>
  <c r="N26" i="5"/>
  <c r="N31" i="5"/>
  <c r="N39" i="5"/>
  <c r="E46" i="5"/>
  <c r="G46" i="20" s="1"/>
  <c r="I46" i="20" s="1"/>
  <c r="E45" i="5"/>
  <c r="G45" i="20" s="1"/>
  <c r="I45" i="20" s="1"/>
  <c r="E44" i="5"/>
  <c r="G44" i="20" s="1"/>
  <c r="I44" i="20" s="1"/>
  <c r="E43" i="5"/>
  <c r="G43" i="20" s="1"/>
  <c r="I43" i="20" s="1"/>
  <c r="E42" i="5"/>
  <c r="G42" i="20" s="1"/>
  <c r="I42" i="20" s="1"/>
  <c r="E41" i="5"/>
  <c r="G41" i="20" s="1"/>
  <c r="I41" i="20" s="1"/>
  <c r="N52" i="5" l="1"/>
  <c r="E30" i="5"/>
  <c r="G30" i="20" s="1"/>
  <c r="I30" i="20" s="1"/>
  <c r="E28" i="5"/>
  <c r="G28" i="20" s="1"/>
  <c r="O81" i="12"/>
  <c r="C6" i="12"/>
  <c r="E33" i="5" s="1"/>
  <c r="G33" i="20" s="1"/>
  <c r="I33" i="20" s="1"/>
  <c r="C7" i="12"/>
  <c r="E34" i="5" s="1"/>
  <c r="G34" i="20" s="1"/>
  <c r="I34" i="20" s="1"/>
  <c r="C8" i="12"/>
  <c r="E35" i="5" s="1"/>
  <c r="G35" i="20" s="1"/>
  <c r="I35" i="20" s="1"/>
  <c r="C9" i="12"/>
  <c r="E36" i="5" s="1"/>
  <c r="C10" i="12"/>
  <c r="E37" i="5" s="1"/>
  <c r="G37" i="20" s="1"/>
  <c r="I37" i="20" s="1"/>
  <c r="C11" i="12"/>
  <c r="E38" i="5" s="1"/>
  <c r="G38" i="20" s="1"/>
  <c r="I38" i="20" s="1"/>
  <c r="C12" i="12"/>
  <c r="G23" i="20" s="1"/>
  <c r="I23" i="20" s="1"/>
  <c r="C13" i="12"/>
  <c r="E48" i="5" s="1"/>
  <c r="G48" i="20" s="1"/>
  <c r="G51" i="20" s="1"/>
  <c r="C5" i="12"/>
  <c r="E32" i="5" s="1"/>
  <c r="G32" i="20" s="1"/>
  <c r="I32" i="20" s="1"/>
  <c r="K81" i="12"/>
  <c r="M81" i="12"/>
  <c r="E15" i="5" l="1"/>
  <c r="G15" i="20" s="1"/>
  <c r="I15" i="20" s="1"/>
  <c r="I48" i="20"/>
  <c r="I51" i="20" s="1"/>
  <c r="I28" i="20"/>
  <c r="C49" i="5"/>
  <c r="D49" i="20" s="1"/>
  <c r="F49" i="20" s="1"/>
  <c r="C22" i="5"/>
  <c r="D22" i="20" s="1"/>
  <c r="F22" i="20" s="1"/>
  <c r="C8" i="5"/>
  <c r="D8" i="20" s="1"/>
  <c r="C6" i="8"/>
  <c r="C33" i="5" s="1"/>
  <c r="D33" i="20" s="1"/>
  <c r="F33" i="20" s="1"/>
  <c r="C7" i="8"/>
  <c r="C34" i="5" s="1"/>
  <c r="D34" i="20" s="1"/>
  <c r="F34" i="20" s="1"/>
  <c r="C8" i="8"/>
  <c r="C35" i="5" s="1"/>
  <c r="D35" i="20" s="1"/>
  <c r="F35" i="20" s="1"/>
  <c r="C9" i="8"/>
  <c r="G36" i="20" s="1"/>
  <c r="C10" i="8"/>
  <c r="C37" i="5" s="1"/>
  <c r="D37" i="20" s="1"/>
  <c r="F37" i="20" s="1"/>
  <c r="C11" i="8"/>
  <c r="C38" i="5" s="1"/>
  <c r="D38" i="20" s="1"/>
  <c r="F38" i="20" s="1"/>
  <c r="C12" i="8"/>
  <c r="C13" i="8"/>
  <c r="C48" i="5" s="1"/>
  <c r="D48" i="20" s="1"/>
  <c r="C5" i="8"/>
  <c r="C54" i="17"/>
  <c r="C46" i="17"/>
  <c r="C38" i="17"/>
  <c r="C30" i="17"/>
  <c r="C25" i="17"/>
  <c r="C32" i="5" l="1"/>
  <c r="D32" i="20" s="1"/>
  <c r="F32" i="20" s="1"/>
  <c r="C14" i="8"/>
  <c r="I36" i="20"/>
  <c r="I39" i="20" s="1"/>
  <c r="G39" i="20"/>
  <c r="C36" i="5"/>
  <c r="D36" i="20" s="1"/>
  <c r="F36" i="20" s="1"/>
  <c r="F8" i="20"/>
  <c r="F13" i="20" s="1"/>
  <c r="D13" i="20"/>
  <c r="F48" i="20"/>
  <c r="F51" i="20" s="1"/>
  <c r="D51" i="20"/>
  <c r="C15" i="5"/>
  <c r="D15" i="20" s="1"/>
  <c r="C47" i="17"/>
  <c r="G6" i="12"/>
  <c r="H6" i="12" s="1"/>
  <c r="O71" i="12"/>
  <c r="O76" i="12" s="1"/>
  <c r="E22" i="5" s="1"/>
  <c r="G22" i="20" s="1"/>
  <c r="I22" i="20" s="1"/>
  <c r="M76" i="12"/>
  <c r="E7" i="5" s="1"/>
  <c r="G7" i="20" s="1"/>
  <c r="I7" i="20" s="1"/>
  <c r="K76" i="12"/>
  <c r="E8" i="5" s="1"/>
  <c r="G8" i="20" s="1"/>
  <c r="I8" i="20" s="1"/>
  <c r="I69" i="12"/>
  <c r="K66" i="12"/>
  <c r="J66" i="12"/>
  <c r="L65" i="12"/>
  <c r="M65" i="12" s="1"/>
  <c r="N65" i="12" s="1"/>
  <c r="L64" i="12"/>
  <c r="K61" i="12"/>
  <c r="J61" i="12"/>
  <c r="L57" i="12"/>
  <c r="L58" i="12"/>
  <c r="M58" i="12" s="1"/>
  <c r="N58" i="12" s="1"/>
  <c r="L59" i="12"/>
  <c r="L60" i="12"/>
  <c r="M60" i="12" s="1"/>
  <c r="N60" i="12" s="1"/>
  <c r="L56" i="12"/>
  <c r="I61" i="12"/>
  <c r="M47" i="12"/>
  <c r="N47" i="12"/>
  <c r="O47" i="12"/>
  <c r="P47" i="12"/>
  <c r="K47" i="12"/>
  <c r="L47" i="12"/>
  <c r="K35" i="12"/>
  <c r="E14" i="5" s="1"/>
  <c r="G14" i="20" s="1"/>
  <c r="J34" i="12"/>
  <c r="I60" i="12" s="1"/>
  <c r="I75" i="12" s="1"/>
  <c r="J32" i="12"/>
  <c r="N40" i="12" s="1"/>
  <c r="J33" i="12"/>
  <c r="J31" i="12"/>
  <c r="I57" i="12" s="1"/>
  <c r="I72" i="12" s="1"/>
  <c r="J30" i="12"/>
  <c r="I56" i="12" s="1"/>
  <c r="I71" i="12" s="1"/>
  <c r="J25" i="12"/>
  <c r="I24" i="12"/>
  <c r="I23" i="12"/>
  <c r="I22" i="12"/>
  <c r="Q12" i="12"/>
  <c r="N15" i="12"/>
  <c r="N13" i="12"/>
  <c r="N11" i="12"/>
  <c r="N9" i="12"/>
  <c r="K8" i="12"/>
  <c r="L7" i="12"/>
  <c r="N7" i="12" s="1"/>
  <c r="L6" i="12"/>
  <c r="L8" i="12" s="1"/>
  <c r="C27" i="12"/>
  <c r="C30" i="12" s="1"/>
  <c r="E14" i="12"/>
  <c r="D14" i="12"/>
  <c r="C4" i="12"/>
  <c r="F32" i="5" s="1"/>
  <c r="K13" i="8"/>
  <c r="K16" i="8" s="1"/>
  <c r="N16" i="8"/>
  <c r="O6" i="8"/>
  <c r="O7" i="8"/>
  <c r="I15" i="8"/>
  <c r="I20" i="8" s="1"/>
  <c r="I14" i="8"/>
  <c r="I19" i="8" s="1"/>
  <c r="I13" i="8"/>
  <c r="I18" i="8" s="1"/>
  <c r="C29" i="8"/>
  <c r="C32" i="8" s="1"/>
  <c r="D14" i="8"/>
  <c r="E14" i="8"/>
  <c r="G26" i="20" l="1"/>
  <c r="I14" i="20"/>
  <c r="I26" i="20" s="1"/>
  <c r="Q47" i="12"/>
  <c r="E29" i="5" s="1"/>
  <c r="G29" i="20" s="1"/>
  <c r="I58" i="12"/>
  <c r="I73" i="12" s="1"/>
  <c r="J71" i="12"/>
  <c r="M56" i="12"/>
  <c r="M59" i="12"/>
  <c r="N59" i="12" s="1"/>
  <c r="P59" i="12" s="1"/>
  <c r="M57" i="12"/>
  <c r="N57" i="12" s="1"/>
  <c r="P57" i="12" s="1"/>
  <c r="J79" i="12"/>
  <c r="M64" i="12"/>
  <c r="F39" i="20"/>
  <c r="D39" i="20"/>
  <c r="F15" i="20"/>
  <c r="F26" i="20" s="1"/>
  <c r="D26" i="20"/>
  <c r="J74" i="12"/>
  <c r="P74" i="12" s="1"/>
  <c r="O56" i="12"/>
  <c r="J72" i="12"/>
  <c r="D47" i="17"/>
  <c r="D45" i="17"/>
  <c r="D43" i="17"/>
  <c r="D41" i="17"/>
  <c r="D39" i="17"/>
  <c r="D37" i="17"/>
  <c r="D35" i="17"/>
  <c r="D33" i="17"/>
  <c r="D31" i="17"/>
  <c r="D29" i="17"/>
  <c r="D27" i="17"/>
  <c r="D23" i="17"/>
  <c r="D21" i="17"/>
  <c r="D19" i="17"/>
  <c r="D17" i="17"/>
  <c r="D15" i="17"/>
  <c r="D13" i="17"/>
  <c r="D11" i="17"/>
  <c r="D9" i="17"/>
  <c r="D7" i="17"/>
  <c r="D5" i="17"/>
  <c r="D46" i="17"/>
  <c r="D44" i="17"/>
  <c r="D42" i="17"/>
  <c r="D40" i="17"/>
  <c r="D38" i="17"/>
  <c r="D36" i="17"/>
  <c r="D34" i="17"/>
  <c r="D32" i="17"/>
  <c r="D30" i="17"/>
  <c r="D28" i="17"/>
  <c r="D26" i="17"/>
  <c r="D24" i="17"/>
  <c r="D22" i="17"/>
  <c r="D20" i="17"/>
  <c r="D18" i="17"/>
  <c r="D16" i="17"/>
  <c r="D14" i="17"/>
  <c r="D12" i="17"/>
  <c r="D10" i="17"/>
  <c r="D8" i="17"/>
  <c r="D6" i="17"/>
  <c r="D25" i="17"/>
  <c r="O5" i="8"/>
  <c r="C45" i="5" s="1"/>
  <c r="C47" i="5" s="1"/>
  <c r="P5" i="8"/>
  <c r="R5" i="8" s="1"/>
  <c r="K18" i="8" s="1"/>
  <c r="P6" i="8"/>
  <c r="R6" i="8" s="1"/>
  <c r="K19" i="8" s="1"/>
  <c r="I76" i="12"/>
  <c r="I81" i="12" s="1"/>
  <c r="I66" i="12"/>
  <c r="L72" i="12"/>
  <c r="P72" i="12"/>
  <c r="N72" i="12"/>
  <c r="I59" i="12"/>
  <c r="I74" i="12" s="1"/>
  <c r="O40" i="12"/>
  <c r="L40" i="12"/>
  <c r="P40" i="12"/>
  <c r="L71" i="12"/>
  <c r="N71" i="12"/>
  <c r="O60" i="12"/>
  <c r="J75" i="12"/>
  <c r="O58" i="12"/>
  <c r="J73" i="12"/>
  <c r="L61" i="12"/>
  <c r="O64" i="12"/>
  <c r="M40" i="12"/>
  <c r="L66" i="12"/>
  <c r="P71" i="12"/>
  <c r="J80" i="12"/>
  <c r="P65" i="12"/>
  <c r="O65" i="12"/>
  <c r="P60" i="12"/>
  <c r="P58" i="12"/>
  <c r="N6" i="12"/>
  <c r="N8" i="12" s="1"/>
  <c r="G5" i="12"/>
  <c r="H5" i="12" s="1"/>
  <c r="E15" i="12"/>
  <c r="E17" i="12" s="1"/>
  <c r="D15" i="12"/>
  <c r="D17" i="12" s="1"/>
  <c r="O16" i="8"/>
  <c r="M19" i="8" s="1"/>
  <c r="E15" i="8"/>
  <c r="E17" i="8" s="1"/>
  <c r="D15" i="8"/>
  <c r="C4" i="8"/>
  <c r="D32" i="5" s="1"/>
  <c r="K50" i="5"/>
  <c r="K49" i="5"/>
  <c r="K48" i="5"/>
  <c r="I51" i="5"/>
  <c r="C51" i="5"/>
  <c r="G51" i="5"/>
  <c r="E51" i="5"/>
  <c r="K46" i="5"/>
  <c r="K44" i="5"/>
  <c r="K43" i="5"/>
  <c r="K42" i="5"/>
  <c r="K41" i="5"/>
  <c r="I47" i="5"/>
  <c r="G47" i="5"/>
  <c r="I39" i="5"/>
  <c r="C39" i="5"/>
  <c r="K38" i="5"/>
  <c r="K37" i="5"/>
  <c r="K36" i="5"/>
  <c r="K35" i="5"/>
  <c r="K34" i="5"/>
  <c r="K33" i="5"/>
  <c r="K32" i="5"/>
  <c r="G39" i="5"/>
  <c r="E39" i="5"/>
  <c r="I31" i="5"/>
  <c r="C31" i="5"/>
  <c r="G31" i="5"/>
  <c r="E31" i="5"/>
  <c r="K30" i="5"/>
  <c r="K28" i="5"/>
  <c r="K27" i="5"/>
  <c r="I26" i="5"/>
  <c r="G26" i="5"/>
  <c r="K20" i="5"/>
  <c r="K22" i="5"/>
  <c r="K23" i="5"/>
  <c r="K24" i="5"/>
  <c r="K25" i="5"/>
  <c r="K19" i="5"/>
  <c r="K18" i="5"/>
  <c r="K16" i="5"/>
  <c r="K17" i="5"/>
  <c r="K14" i="5"/>
  <c r="G13" i="5"/>
  <c r="C13" i="5"/>
  <c r="I13" i="5"/>
  <c r="K12" i="5"/>
  <c r="K11" i="5"/>
  <c r="K10" i="5"/>
  <c r="K9" i="5"/>
  <c r="K8" i="5"/>
  <c r="K7" i="5"/>
  <c r="A13" i="12"/>
  <c r="I2" i="8"/>
  <c r="A6" i="12"/>
  <c r="A7" i="12"/>
  <c r="A8" i="12"/>
  <c r="A9" i="12"/>
  <c r="A10" i="12"/>
  <c r="A11" i="12"/>
  <c r="A5" i="12"/>
  <c r="A12" i="12"/>
  <c r="C11" i="20" l="1"/>
  <c r="O11" i="5"/>
  <c r="C12" i="20"/>
  <c r="O12" i="5"/>
  <c r="N74" i="12"/>
  <c r="K29" i="5"/>
  <c r="L74" i="12"/>
  <c r="C27" i="20"/>
  <c r="O27" i="5"/>
  <c r="J81" i="12"/>
  <c r="P80" i="12"/>
  <c r="N80" i="12"/>
  <c r="L80" i="12"/>
  <c r="N64" i="12"/>
  <c r="M66" i="12"/>
  <c r="O66" i="12" s="1"/>
  <c r="N56" i="12"/>
  <c r="M61" i="12"/>
  <c r="C25" i="20"/>
  <c r="O25" i="5"/>
  <c r="P79" i="12"/>
  <c r="N79" i="12"/>
  <c r="L79" i="12"/>
  <c r="O57" i="12"/>
  <c r="O59" i="12"/>
  <c r="I29" i="20"/>
  <c r="I31" i="20" s="1"/>
  <c r="G31" i="20"/>
  <c r="K45" i="5"/>
  <c r="O45" i="5" s="1"/>
  <c r="M20" i="8"/>
  <c r="C50" i="20"/>
  <c r="O50" i="5"/>
  <c r="N19" i="8"/>
  <c r="D45" i="20"/>
  <c r="O8" i="8"/>
  <c r="C20" i="20"/>
  <c r="O20" i="5"/>
  <c r="C19" i="20"/>
  <c r="O19" i="5"/>
  <c r="C18" i="20"/>
  <c r="O18" i="5"/>
  <c r="C17" i="20"/>
  <c r="O17" i="5"/>
  <c r="O16" i="5"/>
  <c r="C16" i="20"/>
  <c r="C10" i="20"/>
  <c r="O10" i="5"/>
  <c r="C9" i="20"/>
  <c r="O9" i="5"/>
  <c r="C49" i="20"/>
  <c r="O49" i="5"/>
  <c r="C24" i="20"/>
  <c r="O24" i="5"/>
  <c r="C8" i="20"/>
  <c r="O8" i="5"/>
  <c r="C23" i="20"/>
  <c r="O23" i="5"/>
  <c r="C29" i="20"/>
  <c r="O29" i="5"/>
  <c r="C32" i="20"/>
  <c r="O32" i="5"/>
  <c r="C34" i="20"/>
  <c r="O34" i="5"/>
  <c r="C36" i="20"/>
  <c r="O36" i="5"/>
  <c r="C38" i="20"/>
  <c r="O38" i="5"/>
  <c r="C41" i="20"/>
  <c r="O41" i="5"/>
  <c r="C43" i="20"/>
  <c r="O43" i="5"/>
  <c r="C48" i="20"/>
  <c r="O48" i="5"/>
  <c r="C7" i="20"/>
  <c r="O7" i="5"/>
  <c r="C14" i="20"/>
  <c r="O14" i="5"/>
  <c r="O22" i="5"/>
  <c r="C22" i="20"/>
  <c r="C28" i="20"/>
  <c r="O28" i="5"/>
  <c r="C30" i="20"/>
  <c r="O30" i="5"/>
  <c r="C33" i="20"/>
  <c r="O33" i="5"/>
  <c r="C35" i="20"/>
  <c r="O35" i="5"/>
  <c r="C37" i="20"/>
  <c r="O37" i="5"/>
  <c r="C42" i="20"/>
  <c r="O42" i="5"/>
  <c r="C44" i="20"/>
  <c r="O44" i="5"/>
  <c r="C46" i="20"/>
  <c r="O46" i="5"/>
  <c r="M18" i="8"/>
  <c r="N18" i="8" s="1"/>
  <c r="K31" i="5"/>
  <c r="K51" i="5"/>
  <c r="A5" i="8"/>
  <c r="A10" i="8"/>
  <c r="A8" i="8"/>
  <c r="A6" i="8"/>
  <c r="A12" i="8"/>
  <c r="A13" i="8"/>
  <c r="C15" i="12"/>
  <c r="P73" i="12"/>
  <c r="N73" i="12"/>
  <c r="L73" i="12"/>
  <c r="P75" i="12"/>
  <c r="N75" i="12"/>
  <c r="L75" i="12"/>
  <c r="G52" i="5"/>
  <c r="I52" i="5"/>
  <c r="A9" i="8"/>
  <c r="A7" i="8"/>
  <c r="A11" i="8"/>
  <c r="N17" i="12"/>
  <c r="E40" i="5" s="1"/>
  <c r="G7" i="12"/>
  <c r="O61" i="12"/>
  <c r="J76" i="12"/>
  <c r="K39" i="5"/>
  <c r="D17" i="8"/>
  <c r="C15" i="8"/>
  <c r="C51" i="20" l="1"/>
  <c r="C45" i="20"/>
  <c r="N61" i="12"/>
  <c r="P56" i="12"/>
  <c r="N66" i="12"/>
  <c r="P66" i="12" s="1"/>
  <c r="P64" i="12"/>
  <c r="O51" i="5"/>
  <c r="G40" i="20"/>
  <c r="E47" i="5"/>
  <c r="K47" i="5" s="1"/>
  <c r="K40" i="5"/>
  <c r="D47" i="20"/>
  <c r="D52" i="20" s="1"/>
  <c r="E53" i="20" s="1"/>
  <c r="F45" i="20"/>
  <c r="F47" i="20" s="1"/>
  <c r="F52" i="20" s="1"/>
  <c r="O31" i="5"/>
  <c r="O39" i="5"/>
  <c r="C31" i="20"/>
  <c r="C39" i="20"/>
  <c r="N76" i="12"/>
  <c r="L76" i="12"/>
  <c r="P76" i="12"/>
  <c r="E6" i="5" l="1"/>
  <c r="P61" i="12"/>
  <c r="C40" i="20"/>
  <c r="C47" i="20" s="1"/>
  <c r="O40" i="5"/>
  <c r="O47" i="5" s="1"/>
  <c r="I40" i="20"/>
  <c r="I47" i="20" s="1"/>
  <c r="G47" i="20"/>
  <c r="F54" i="20"/>
  <c r="K18" i="19" s="1"/>
  <c r="B11" i="19"/>
  <c r="F53" i="20"/>
  <c r="D53" i="20" s="1"/>
  <c r="P7" i="8"/>
  <c r="R7" i="8" s="1"/>
  <c r="K20" i="8" s="1"/>
  <c r="N20" i="8" s="1"/>
  <c r="G6" i="20" l="1"/>
  <c r="K6" i="5"/>
  <c r="E13" i="5"/>
  <c r="C11" i="19"/>
  <c r="C10" i="19"/>
  <c r="C6" i="20" l="1"/>
  <c r="C13" i="20" s="1"/>
  <c r="K13" i="5"/>
  <c r="O6" i="5"/>
  <c r="O13" i="5" s="1"/>
  <c r="I6" i="20"/>
  <c r="I13" i="20" s="1"/>
  <c r="I52" i="20" s="1"/>
  <c r="G13" i="20"/>
  <c r="G52" i="20" s="1"/>
  <c r="G56" i="20" l="1"/>
  <c r="H53" i="20"/>
  <c r="I54" i="20"/>
  <c r="K26" i="19" s="1"/>
  <c r="I53" i="20"/>
  <c r="F11" i="19"/>
  <c r="G10" i="19" l="1"/>
  <c r="G19" i="19"/>
  <c r="G21" i="19" s="1"/>
  <c r="K22" i="19" s="1"/>
  <c r="L22" i="19" s="1"/>
  <c r="G11" i="19"/>
  <c r="F19" i="19"/>
  <c r="M57" i="20"/>
  <c r="O56" i="20"/>
  <c r="K31" i="19" s="1"/>
  <c r="G57" i="20"/>
  <c r="G53" i="20"/>
  <c r="C17" i="8"/>
  <c r="C26" i="5"/>
  <c r="C52" i="5" s="1"/>
  <c r="K15" i="5"/>
  <c r="C14" i="12"/>
  <c r="C17" i="12" s="1"/>
  <c r="E26" i="5"/>
  <c r="F21" i="19" l="1"/>
  <c r="K23" i="19" s="1"/>
  <c r="L23" i="19" s="1"/>
  <c r="K24" i="19" s="1"/>
  <c r="L26" i="19" s="1"/>
  <c r="L27" i="19" s="1"/>
  <c r="L28" i="19" s="1"/>
  <c r="G32" i="19"/>
  <c r="C15" i="20"/>
  <c r="C26" i="20" s="1"/>
  <c r="C52" i="20" s="1"/>
  <c r="O15" i="5"/>
  <c r="O26" i="5" s="1"/>
  <c r="O52" i="5" s="1"/>
  <c r="K26" i="5"/>
  <c r="K52" i="5" s="1"/>
  <c r="J52" i="5" s="1"/>
  <c r="E52" i="5"/>
  <c r="G11" i="21" l="1"/>
  <c r="G33" i="19"/>
  <c r="H52" i="5"/>
  <c r="D52" i="5"/>
  <c r="F52" i="5"/>
  <c r="H11" i="21" l="1"/>
  <c r="G13" i="21"/>
  <c r="L52" i="5"/>
  <c r="B28" i="19"/>
  <c r="J9" i="7"/>
  <c r="C29" i="19"/>
  <c r="B32" i="19" s="1"/>
  <c r="G17" i="21" l="1"/>
  <c r="G14" i="21"/>
  <c r="B33" i="19"/>
  <c r="D11" i="21"/>
  <c r="K12" i="19"/>
  <c r="L11" i="19" s="1"/>
  <c r="K16" i="19" s="1"/>
  <c r="L18" i="19" s="1"/>
  <c r="L19" i="19" s="1"/>
  <c r="J11" i="7"/>
  <c r="L11" i="7" s="1"/>
  <c r="M6" i="7"/>
  <c r="O6" i="7" s="1"/>
  <c r="J6" i="7"/>
  <c r="L6" i="7" s="1"/>
  <c r="M10" i="7"/>
  <c r="O10" i="7" s="1"/>
  <c r="J15" i="7"/>
  <c r="M15" i="7"/>
  <c r="O15" i="7" s="1"/>
  <c r="L15" i="7" l="1"/>
  <c r="E7" i="21"/>
  <c r="D7" i="21" s="1"/>
  <c r="E11" i="21" s="1"/>
  <c r="G21" i="21"/>
  <c r="G22" i="21" s="1"/>
  <c r="G18" i="21"/>
  <c r="D13" i="21"/>
  <c r="C11" i="21"/>
  <c r="C13" i="21" s="1"/>
  <c r="L20" i="19"/>
  <c r="L33" i="19" s="1"/>
  <c r="L30" i="19"/>
  <c r="L31" i="19" s="1"/>
  <c r="L32" i="19" s="1"/>
  <c r="F11" i="21" l="1"/>
  <c r="I6" i="21"/>
  <c r="E10" i="21"/>
  <c r="F10" i="21"/>
  <c r="E19" i="21"/>
  <c r="F19" i="21"/>
  <c r="L34" i="19"/>
  <c r="D17" i="21"/>
  <c r="D14" i="21"/>
  <c r="C14" i="21"/>
  <c r="C17" i="21"/>
  <c r="I10" i="21" l="1"/>
  <c r="I19" i="21"/>
  <c r="I11" i="21"/>
  <c r="D18" i="21"/>
  <c r="D21" i="21"/>
  <c r="D22" i="21" s="1"/>
  <c r="C18" i="21"/>
  <c r="C21" i="21"/>
  <c r="C26" i="21" l="1"/>
  <c r="C22" i="21"/>
</calcChain>
</file>

<file path=xl/sharedStrings.xml><?xml version="1.0" encoding="utf-8"?>
<sst xmlns="http://schemas.openxmlformats.org/spreadsheetml/2006/main" count="649" uniqueCount="346">
  <si>
    <t>Material de Oficina</t>
  </si>
  <si>
    <t>Aceites y Similares</t>
  </si>
  <si>
    <t>Repuestos</t>
  </si>
  <si>
    <t>Sueldos y Salarios</t>
  </si>
  <si>
    <t>Seguridad Social</t>
  </si>
  <si>
    <t>Otros</t>
  </si>
  <si>
    <t>Combustible</t>
  </si>
  <si>
    <t>Pequeño Utillaje</t>
  </si>
  <si>
    <t>Otras Comunicaciones</t>
  </si>
  <si>
    <t>Dietas y Plus</t>
  </si>
  <si>
    <t>Arrendamientos</t>
  </si>
  <si>
    <t>Mutuas y Otros</t>
  </si>
  <si>
    <t>Conceptos /Detalles</t>
  </si>
  <si>
    <t>Vestuario</t>
  </si>
  <si>
    <t>Asistencia Técnica</t>
  </si>
  <si>
    <t>Fondo Gran Reparación</t>
  </si>
  <si>
    <t>Fondo de Pensiones</t>
  </si>
  <si>
    <t>Mobiliario</t>
  </si>
  <si>
    <t>Construcciones</t>
  </si>
  <si>
    <t>Otras Instalaciones</t>
  </si>
  <si>
    <t>Maquinaria</t>
  </si>
  <si>
    <t>60-61Consumos</t>
  </si>
  <si>
    <t>62 Servicios Externos</t>
  </si>
  <si>
    <t>Otras Servicios</t>
  </si>
  <si>
    <t>64 Personal</t>
  </si>
  <si>
    <t>Otras Gtos Sociales</t>
  </si>
  <si>
    <t>Telefonia Fija y Movil</t>
  </si>
  <si>
    <t>Rappels por Compras</t>
  </si>
  <si>
    <t>Dtos pronto pago</t>
  </si>
  <si>
    <t>Transportes</t>
  </si>
  <si>
    <t>63 Impuestos</t>
  </si>
  <si>
    <t>Vados</t>
  </si>
  <si>
    <t>Otros Impuestos</t>
  </si>
  <si>
    <t xml:space="preserve">Otros Gastos Directos </t>
  </si>
  <si>
    <t>absolut</t>
  </si>
  <si>
    <t xml:space="preserve"> %</t>
  </si>
  <si>
    <t>Monetario</t>
  </si>
  <si>
    <t>Coste Estimado</t>
  </si>
  <si>
    <t>Dpto. Tráfico y Transportes</t>
  </si>
  <si>
    <t>Dpto. Almacenaje</t>
  </si>
  <si>
    <t>Dpto. Administración</t>
  </si>
  <si>
    <t>(Instalaciones, Dirección)</t>
  </si>
  <si>
    <t>cant.</t>
  </si>
  <si>
    <t>(Talleres, Flota, Direc.etc)</t>
  </si>
  <si>
    <t>Dpto Otros</t>
  </si>
  <si>
    <t>(Segurid., Limpi., Grales)</t>
  </si>
  <si>
    <t>(Conta., asesoria, etc)</t>
  </si>
  <si>
    <t>68 Amortizaciones</t>
  </si>
  <si>
    <t>69 Otras Dotaciones</t>
  </si>
  <si>
    <t>60/61 Consumos</t>
  </si>
  <si>
    <t>*Repuestos</t>
  </si>
  <si>
    <t>* etc</t>
  </si>
  <si>
    <t>62 Servicios Exteriores</t>
  </si>
  <si>
    <t>* Seguros de vehículos</t>
  </si>
  <si>
    <t>* Combustibles</t>
  </si>
  <si>
    <t>* de circulación</t>
  </si>
  <si>
    <t>64 Sueldos y Salarios</t>
  </si>
  <si>
    <t>* Conductores</t>
  </si>
  <si>
    <t>Principales Gastos Directos</t>
  </si>
  <si>
    <t>* Amortización</t>
  </si>
  <si>
    <t>*Embalaje</t>
  </si>
  <si>
    <t>* basuras</t>
  </si>
  <si>
    <t>* Electricidad</t>
  </si>
  <si>
    <t>* Mozos</t>
  </si>
  <si>
    <t>*Material Oficina</t>
  </si>
  <si>
    <t>* IAE</t>
  </si>
  <si>
    <t>* Comunicaciones</t>
  </si>
  <si>
    <t>* Administrativos</t>
  </si>
  <si>
    <t>Seguros</t>
  </si>
  <si>
    <t>Publicidad y Rel. Publ</t>
  </si>
  <si>
    <t>Seguridad y Limpieza</t>
  </si>
  <si>
    <t>Reparaciones</t>
  </si>
  <si>
    <t>Impuestos Locales</t>
  </si>
  <si>
    <t>Impuestos Grles</t>
  </si>
  <si>
    <t>Vehiculos</t>
  </si>
  <si>
    <t>Software y Hadware</t>
  </si>
  <si>
    <t>Otros Gtos/Costes</t>
  </si>
  <si>
    <t>67 Pérdidas Extraord.</t>
  </si>
  <si>
    <t>Fondo  Indemnización</t>
  </si>
  <si>
    <t>TOTAL</t>
  </si>
  <si>
    <t>Asesoría Fiscal/Nóminas</t>
  </si>
  <si>
    <t>Coste de Oportunidad</t>
  </si>
  <si>
    <t>65-66 Otros y Financier.</t>
  </si>
  <si>
    <t>Concepto</t>
  </si>
  <si>
    <t>Software</t>
  </si>
  <si>
    <t>Subtotal</t>
  </si>
  <si>
    <t>Nota A</t>
  </si>
  <si>
    <t>Operarios</t>
  </si>
  <si>
    <t>Técnicos</t>
  </si>
  <si>
    <t>Total</t>
  </si>
  <si>
    <t>Nº de Trabajadores</t>
  </si>
  <si>
    <t>Costes Anuales Estimados</t>
  </si>
  <si>
    <t>Horas Contratadas</t>
  </si>
  <si>
    <t>(Ver Calendario Laboral)</t>
  </si>
  <si>
    <t xml:space="preserve">Subtotal Coste Anual </t>
  </si>
  <si>
    <t>Calendario laboral según convenio colectivo para el ejercicio en curso</t>
  </si>
  <si>
    <t>Días Naturales del Año:</t>
  </si>
  <si>
    <t>Fiestas no recuperables</t>
  </si>
  <si>
    <t>Vacaciones retribuidas</t>
  </si>
  <si>
    <t>Permisos (promedio)</t>
  </si>
  <si>
    <t>Imprevistos (enfermedad, etc.)</t>
  </si>
  <si>
    <t>Días de Trabajo Disponibles</t>
  </si>
  <si>
    <t>Jornada Laboral (horas)</t>
  </si>
  <si>
    <t>Total Horas Disponibles</t>
  </si>
  <si>
    <t>Días de descanso semanal (2)</t>
  </si>
  <si>
    <t>Nº de trabajadores</t>
  </si>
  <si>
    <t>Coste/Hora</t>
  </si>
  <si>
    <t>Tiempo Muerto Dia (estimado)</t>
  </si>
  <si>
    <t>Nota B</t>
  </si>
  <si>
    <t>Detalle</t>
  </si>
  <si>
    <t>Valor Reposición</t>
  </si>
  <si>
    <t>Valor Residual</t>
  </si>
  <si>
    <t>Valor Estimado Total  (Año)</t>
  </si>
  <si>
    <t>Uso (Horas/Año)</t>
  </si>
  <si>
    <t>Otros Costes Asociados al Uso</t>
  </si>
  <si>
    <t>Coste de Reparaciones Estimadas Año en esta maquinaria</t>
  </si>
  <si>
    <t>Gran Reparación</t>
  </si>
  <si>
    <t>TOTAL COSTE DE HORA DE USO</t>
  </si>
  <si>
    <t>Amortiz</t>
  </si>
  <si>
    <t>Combust</t>
  </si>
  <si>
    <t>Repara</t>
  </si>
  <si>
    <t>€ Amort. Hora Uso</t>
  </si>
  <si>
    <t>Palet Tipo</t>
  </si>
  <si>
    <t>Coste por Palet</t>
  </si>
  <si>
    <t>Kilos</t>
  </si>
  <si>
    <t>Dietas</t>
  </si>
  <si>
    <t>Vida Util</t>
  </si>
  <si>
    <t>Cabeza Tractora</t>
  </si>
  <si>
    <t>Semiremolque</t>
  </si>
  <si>
    <t>Coste de Compra</t>
  </si>
  <si>
    <t>Transportistas</t>
  </si>
  <si>
    <t>Sueldos y otros</t>
  </si>
  <si>
    <t>Nota A: Coste Hora del Personal del Dpto de Tráfico y Transportes</t>
  </si>
  <si>
    <t>b1. ) Vehículos de Transportes</t>
  </si>
  <si>
    <t>Nota B: Amortizaciones del Dpto. Tráfico y Transporte</t>
  </si>
  <si>
    <t>5448DJJ</t>
  </si>
  <si>
    <t>Identificación (Matrícula) y Componentes</t>
  </si>
  <si>
    <t>Amortiza./Año</t>
  </si>
  <si>
    <t>Furgón Combi</t>
  </si>
  <si>
    <t>9853CXD</t>
  </si>
  <si>
    <t>Resumen Coste por Transportista Año</t>
  </si>
  <si>
    <t>2343BCD</t>
  </si>
  <si>
    <t>Isotermo 9000 Kg</t>
  </si>
  <si>
    <t>Camión 7.500 Kg</t>
  </si>
  <si>
    <t>6548FST</t>
  </si>
  <si>
    <t>Resumen/Total</t>
  </si>
  <si>
    <t>2312BTT</t>
  </si>
  <si>
    <t>Camión 5.500 Kg</t>
  </si>
  <si>
    <t>b2. ) Otras Amortizaciones</t>
  </si>
  <si>
    <t>Amortiz/Año</t>
  </si>
  <si>
    <t>Ordenadores</t>
  </si>
  <si>
    <t>Construccion</t>
  </si>
  <si>
    <t>Utillaje</t>
  </si>
  <si>
    <t>Otras Instalac</t>
  </si>
  <si>
    <t>Nota C: Gastos Financieros asociados al Dpto. de Tráfico y Transportes</t>
  </si>
  <si>
    <t>Importe Año</t>
  </si>
  <si>
    <t>Nota D</t>
  </si>
  <si>
    <t>Seguros contra incendios</t>
  </si>
  <si>
    <t>Nota D: Seguros</t>
  </si>
  <si>
    <t xml:space="preserve">Seg. Vehículo </t>
  </si>
  <si>
    <t>Cuota/Año</t>
  </si>
  <si>
    <t>Observaciones</t>
  </si>
  <si>
    <t>Incluye las instalaciones garajes y talleres y su contenido</t>
  </si>
  <si>
    <t>Nota E</t>
  </si>
  <si>
    <t>Conceptos</t>
  </si>
  <si>
    <t>ITV</t>
  </si>
  <si>
    <t>Revisión tacógrafo</t>
  </si>
  <si>
    <t>IVTM</t>
  </si>
  <si>
    <t>Garajes (vados)</t>
  </si>
  <si>
    <t>Gral  Dpto.</t>
  </si>
  <si>
    <t>Nota E: Costes Fiscales Año</t>
  </si>
  <si>
    <t xml:space="preserve">Otros: </t>
  </si>
  <si>
    <t>Particulares</t>
  </si>
  <si>
    <t>Vehículos:</t>
  </si>
  <si>
    <t>Km Año con carga</t>
  </si>
  <si>
    <t>Km Año Sin Carga</t>
  </si>
  <si>
    <t>Total Km</t>
  </si>
  <si>
    <t>Total Li</t>
  </si>
  <si>
    <t>Total Importe</t>
  </si>
  <si>
    <t>F1. ) Estimación de Consumo de Combustible</t>
  </si>
  <si>
    <t>Consumo por Km</t>
  </si>
  <si>
    <t>Li/100 Km</t>
  </si>
  <si>
    <t>€/100 km</t>
  </si>
  <si>
    <t>Empleados</t>
  </si>
  <si>
    <t>Nota F1</t>
  </si>
  <si>
    <t>Total €</t>
  </si>
  <si>
    <t>F2. ) Otros Consumos y Reparaciones</t>
  </si>
  <si>
    <t>Neumáticos</t>
  </si>
  <si>
    <t>Mantenimi. (aceite, etc)</t>
  </si>
  <si>
    <t>Nota F2</t>
  </si>
  <si>
    <t>Nota B1</t>
  </si>
  <si>
    <t>Nota B2</t>
  </si>
  <si>
    <r>
      <rPr>
        <i/>
        <u/>
        <sz val="10"/>
        <color theme="1"/>
        <rFont val="Times New Roman"/>
        <family val="1"/>
      </rPr>
      <t>Recomendación</t>
    </r>
    <r>
      <rPr>
        <i/>
        <sz val="10"/>
        <color theme="1"/>
        <rFont val="Times New Roman"/>
        <family val="1"/>
      </rPr>
      <t>: Se podria reducir este coste mediante la contratación de polizas globales</t>
    </r>
  </si>
  <si>
    <t>Ingresos Previstos</t>
  </si>
  <si>
    <t>Nota A: Coste Hora del Personal de Almacenaje</t>
  </si>
  <si>
    <t>Variable</t>
  </si>
  <si>
    <t>Fijo</t>
  </si>
  <si>
    <t>Gasto Año 20XX</t>
  </si>
  <si>
    <t>Total Gtos Explotación</t>
  </si>
  <si>
    <t>Estimación de Costes y Reparto 1º</t>
  </si>
  <si>
    <t>Dpto. Transportes</t>
  </si>
  <si>
    <t>Dpto. Administra.</t>
  </si>
  <si>
    <t>Estimación de Coste (Relevancia)</t>
  </si>
  <si>
    <t>Varios</t>
  </si>
  <si>
    <t>Gastos Vs Coste</t>
  </si>
  <si>
    <t>Gtos Vs Costes</t>
  </si>
  <si>
    <t>Gastos Contables</t>
  </si>
  <si>
    <t>Notas Relvantes</t>
  </si>
  <si>
    <t>Gtos particulares</t>
  </si>
  <si>
    <t>Estudios pagados en negro</t>
  </si>
  <si>
    <t>Comidas particulares y otros</t>
  </si>
  <si>
    <t>Móvil familiar y similares</t>
  </si>
  <si>
    <t>Gastos Particulares</t>
  </si>
  <si>
    <t>Vehículos particulares</t>
  </si>
  <si>
    <t>Extras y Sobresueldos</t>
  </si>
  <si>
    <t>Coste No gasto</t>
  </si>
  <si>
    <t>Dpto. Otros</t>
  </si>
  <si>
    <t>GASTOS DEL PERIODO (Contabilidad) - RADIOGRAFIA DEL GASTO</t>
  </si>
  <si>
    <t>TOTAL COSTES</t>
  </si>
  <si>
    <t>Otros gastos no Costes</t>
  </si>
  <si>
    <t>Facturas en B y Similares</t>
  </si>
  <si>
    <t>Amortiza Fiscal &amp; Real</t>
  </si>
  <si>
    <t>Asignac. Estimada Indirec.</t>
  </si>
  <si>
    <t>Asigna.Calculada Directa</t>
  </si>
  <si>
    <t>Establecemos la parte fija del coste</t>
  </si>
  <si>
    <t>Inductores</t>
  </si>
  <si>
    <t>Total Kg despachados</t>
  </si>
  <si>
    <t>Capacidad Máxima Almacen</t>
  </si>
  <si>
    <t>Coste Estimado por Kg dia</t>
  </si>
  <si>
    <t>Anual</t>
  </si>
  <si>
    <t>Por Estancia Media</t>
  </si>
  <si>
    <t>Actividad Almacenaje</t>
  </si>
  <si>
    <t>Estancia media</t>
  </si>
  <si>
    <t>Coste Fijo Directo Total</t>
  </si>
  <si>
    <t>Coste Variable Directo Total</t>
  </si>
  <si>
    <t>Costes Directos Totales</t>
  </si>
  <si>
    <t>Actividad Stock</t>
  </si>
  <si>
    <t>Actividad Picking</t>
  </si>
  <si>
    <t>Caja Tipo</t>
  </si>
  <si>
    <t xml:space="preserve"> Incluye coste envases, manipulación y tiempo</t>
  </si>
  <si>
    <t>Total Costes Variables Imputados</t>
  </si>
  <si>
    <t>Exceso o Defecto de Imputación</t>
  </si>
  <si>
    <t>Suplemento de Picking por Kg</t>
  </si>
  <si>
    <t>Costes Variables de las Actividades</t>
  </si>
  <si>
    <t>Coste Variable Directo Estimado</t>
  </si>
  <si>
    <t>Carga media</t>
  </si>
  <si>
    <t>Coste Estimado por Picking</t>
  </si>
  <si>
    <t>Kg tratados según Picking</t>
  </si>
  <si>
    <t>Coste por Kg según mod. Picking</t>
  </si>
  <si>
    <t>Otros Costes Variables por Picking</t>
  </si>
  <si>
    <t xml:space="preserve">Total Km </t>
  </si>
  <si>
    <t>Total Kilos</t>
  </si>
  <si>
    <t>Peso y ponderación</t>
  </si>
  <si>
    <t>Unidades Equivalentes</t>
  </si>
  <si>
    <t>Coste €/Km</t>
  </si>
  <si>
    <t>Coste €/Kg</t>
  </si>
  <si>
    <t>Demanda según modelo Picking</t>
  </si>
  <si>
    <t>Ratio (Km/Kg) y ponderación</t>
  </si>
  <si>
    <t>Coste Fijo Direc</t>
  </si>
  <si>
    <t>Coste. Var.Direc</t>
  </si>
  <si>
    <t>Centros Principales Operativos</t>
  </si>
  <si>
    <t>Centros Principales No Operativos</t>
  </si>
  <si>
    <t>CENTROS PRINCIPALES OPERATIVOS</t>
  </si>
  <si>
    <t>Configuración Básica</t>
  </si>
  <si>
    <t>Estimación diaria</t>
  </si>
  <si>
    <t>Palet</t>
  </si>
  <si>
    <t>Cajas</t>
  </si>
  <si>
    <t>Estimación Anual</t>
  </si>
  <si>
    <t>ACTIVIDAD ESTIMADA DE LA EMPRESA - CENTROS OPERATIVOS</t>
  </si>
  <si>
    <t>Total Kilometros Operados</t>
  </si>
  <si>
    <t>ACTIVIDAD ESTIMADA DETALLADA DE LA EMPRESA</t>
  </si>
  <si>
    <t>Coste promedio del litro de gasoil</t>
  </si>
  <si>
    <t>Estancia media en Almacen</t>
  </si>
  <si>
    <t>Análisis de Rdtos y Rtdos</t>
  </si>
  <si>
    <t>Modelo de Presupuestación de Servicios</t>
  </si>
  <si>
    <t>Km</t>
  </si>
  <si>
    <t>Total Exped.</t>
  </si>
  <si>
    <t>Actividad / Facturación</t>
  </si>
  <si>
    <t>Estimación del nivel de actividad prevista</t>
  </si>
  <si>
    <t>De la Actividad de Almacen</t>
  </si>
  <si>
    <t>De la Actividad de Transportes</t>
  </si>
  <si>
    <t>Significación</t>
  </si>
  <si>
    <t>Dpto de Almacenaje</t>
  </si>
  <si>
    <t>Coste por Caja</t>
  </si>
  <si>
    <t>Suplemento Picking</t>
  </si>
  <si>
    <t>Subtotal Costes Directos Variables de Almacenaje</t>
  </si>
  <si>
    <t>Suplemento Costes Fijos Directos</t>
  </si>
  <si>
    <t>Estancia Estimada</t>
  </si>
  <si>
    <t>Distancia Estimada</t>
  </si>
  <si>
    <t>Por Kilometros estimados</t>
  </si>
  <si>
    <t>por Kilogramos</t>
  </si>
  <si>
    <t>Subtotal Costes Directos Variables de Transportes</t>
  </si>
  <si>
    <t>Total Costes Actividad Almacenaje</t>
  </si>
  <si>
    <t>Total Costes Actividad Transportes</t>
  </si>
  <si>
    <t>Clasificación de los Costes en Fijos y Variables</t>
  </si>
  <si>
    <t>Suplemento de Costes Fijos Directos por Costes Variables Directos</t>
  </si>
  <si>
    <t>Suplemento de Costes de Estructura por Costes Operativos</t>
  </si>
  <si>
    <t>Total Costes Operativos:</t>
  </si>
  <si>
    <t>Total Costes de Estructura:</t>
  </si>
  <si>
    <t>Total Costes Operativos</t>
  </si>
  <si>
    <t>Suplemento Costes Estructura</t>
  </si>
  <si>
    <t>TOTAL COSTE ESTIMADO</t>
  </si>
  <si>
    <t>Estimación del Coste Total y Rtdo Previsto</t>
  </si>
  <si>
    <t>Ingresos Netos de Explotación</t>
  </si>
  <si>
    <t xml:space="preserve"> - Coste Industrial Variable</t>
  </si>
  <si>
    <t xml:space="preserve"> = Margen Industrial Variable</t>
  </si>
  <si>
    <t xml:space="preserve"> - Coste Comercial Variable</t>
  </si>
  <si>
    <t xml:space="preserve"> = Margen de Contribución Bruto</t>
  </si>
  <si>
    <t xml:space="preserve"> = Resultado Analitico</t>
  </si>
  <si>
    <t>TOTAL PRESUPUESTADO</t>
  </si>
  <si>
    <t>RESULTADO ESTIMADO</t>
  </si>
  <si>
    <t>Por Almacenaje</t>
  </si>
  <si>
    <t>Por Transportes</t>
  </si>
  <si>
    <t>Margen de Beneficio Establecido</t>
  </si>
  <si>
    <t>Estancia</t>
  </si>
  <si>
    <t>Por Kg</t>
  </si>
  <si>
    <t>Por Km</t>
  </si>
  <si>
    <t xml:space="preserve"> - Otros Costes Variables N.O</t>
  </si>
  <si>
    <t xml:space="preserve"> - Costes Fijos Propios Operativos</t>
  </si>
  <si>
    <t xml:space="preserve"> = Margen de Contribución Neto o Propio</t>
  </si>
  <si>
    <t xml:space="preserve"> - Costes Fijos de Estructura </t>
  </si>
  <si>
    <t xml:space="preserve"> Dpto de Administración</t>
  </si>
  <si>
    <t>Coste promedio del litro de gasolina</t>
  </si>
  <si>
    <t>Mod. Contrapesada</t>
  </si>
  <si>
    <t>Mod. Retractil</t>
  </si>
  <si>
    <t>Mod. Apilador</t>
  </si>
  <si>
    <t>Nota C: Consumo de Palet-Cajas y Otros</t>
  </si>
  <si>
    <t>Consumo Estimado Anual</t>
  </si>
  <si>
    <t>Otros consumos Relacionados</t>
  </si>
  <si>
    <t>Nota C</t>
  </si>
  <si>
    <t>Organización Funcional y Personal</t>
  </si>
  <si>
    <t>Otros variables relevantes</t>
  </si>
  <si>
    <t>Numero de Unidades</t>
  </si>
  <si>
    <t>Calendario laboral según convenio colectivo</t>
  </si>
  <si>
    <t>Nota B: Amortización y Coste de Uso de la Maquinaria</t>
  </si>
  <si>
    <t>Vida Útil</t>
  </si>
  <si>
    <t>Amortizac. Anual</t>
  </si>
  <si>
    <t>Amortiz. Año</t>
  </si>
  <si>
    <t xml:space="preserve">Combustible y Otros </t>
  </si>
  <si>
    <t>Responsabilidad civil, accidente, seguro mercancías, todo riesgo, etc.</t>
  </si>
  <si>
    <t>Consumo material de envase y embalaje</t>
  </si>
  <si>
    <t>Nota F: Estimación de los principales  Consumos, Reparaciones y Mantenimiento</t>
  </si>
  <si>
    <t>Actividad de Almacenaje</t>
  </si>
  <si>
    <t>Actividad Transportes</t>
  </si>
  <si>
    <t>Inductor: Pedidos</t>
  </si>
  <si>
    <t>Inductor: Expediciones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</si>
</sst>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5" formatCode="#,##0\ &quot;€&quot;;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Li&quot;"/>
    <numFmt numFmtId="165" formatCode="#,##0\ &quot;€&quot;;[Red]#,##0\ &quot;€&quot;"/>
    <numFmt numFmtId="166" formatCode="#,##0\ &quot;Pers&quot;"/>
    <numFmt numFmtId="167" formatCode="#,##0\ &quot;Veh&quot;"/>
    <numFmt numFmtId="168" formatCode="0.0%"/>
    <numFmt numFmtId="169" formatCode="#,##0\ &quot;€&quot;"/>
    <numFmt numFmtId="170" formatCode="#,##0\ &quot;Horas&quot;"/>
    <numFmt numFmtId="171" formatCode="#,##0\ &quot;dias&quot;"/>
    <numFmt numFmtId="172" formatCode="0.00\ &quot;€/hr&quot;"/>
    <numFmt numFmtId="173" formatCode="#,##0.0\ &quot;Horas&quot;"/>
    <numFmt numFmtId="174" formatCode="#,##0\ &quot;Años&quot;"/>
    <numFmt numFmtId="175" formatCode="#,##0\ &quot;palet&quot;"/>
    <numFmt numFmtId="176" formatCode="#,##0\ &quot;años&quot;"/>
    <numFmt numFmtId="177" formatCode="_-* #,##0\ &quot;€&quot;_-;\-* #,##0\ &quot;€&quot;_-;_-* &quot;-&quot;??\ &quot;€&quot;_-;_-@_-"/>
    <numFmt numFmtId="178" formatCode="#,##0\ &quot;km&quot;"/>
    <numFmt numFmtId="179" formatCode="#,##0.0\ &quot;€&quot;;\-#,##0.0\ &quot;€&quot;"/>
    <numFmt numFmtId="180" formatCode="#,##0.0\ &quot;Li&quot;"/>
    <numFmt numFmtId="181" formatCode="0.0000\ &quot;€/Km&quot;"/>
    <numFmt numFmtId="182" formatCode="0.000\ &quot;€/li&quot;"/>
    <numFmt numFmtId="183" formatCode="#,##0.000\ &quot;Li&quot;"/>
    <numFmt numFmtId="184" formatCode="#,##0.00\ &quot;€&quot;"/>
    <numFmt numFmtId="185" formatCode="#,##0.00\ &quot;Kg&quot;"/>
    <numFmt numFmtId="186" formatCode="0\ &quot;días&quot;"/>
    <numFmt numFmtId="187" formatCode="#,##0.0000\ &quot;€/Kg día&quot;"/>
    <numFmt numFmtId="188" formatCode="#,##0.00\ &quot;quincenas&quot;"/>
    <numFmt numFmtId="189" formatCode="0.000\ &quot;€/quinc&quot;"/>
    <numFmt numFmtId="190" formatCode="#,##0\ &quot;Kg/quin&quot;"/>
    <numFmt numFmtId="191" formatCode="0%\ &quot;Ocupación&quot;"/>
    <numFmt numFmtId="192" formatCode="#,##0.0\ &quot;Palet&quot;"/>
    <numFmt numFmtId="193" formatCode="#,##0.0\ &quot;€/Palet&quot;"/>
    <numFmt numFmtId="194" formatCode="#,##0.00\ &quot;€/kg&quot;"/>
    <numFmt numFmtId="195" formatCode="#,##0.0\ &quot;Caja&quot;"/>
    <numFmt numFmtId="196" formatCode="#,##0.0\ &quot;€/Caja&quot;"/>
    <numFmt numFmtId="197" formatCode="#,##0.0\ &quot;Km&quot;"/>
    <numFmt numFmtId="198" formatCode="#,##0.0\ &quot;Kg&quot;"/>
    <numFmt numFmtId="199" formatCode="#,##0\ &quot;Km&quot;"/>
    <numFmt numFmtId="200" formatCode="0.0000\ &quot;€/Kg&quot;"/>
    <numFmt numFmtId="201" formatCode="#,##0.0\ &quot;cajas&quot;"/>
    <numFmt numFmtId="202" formatCode="0\ &quot;Expedición&quot;"/>
    <numFmt numFmtId="203" formatCode="#,##0.00\ &quot;Kg/Exp&quot;"/>
    <numFmt numFmtId="204" formatCode="0\ &quot;pedidos&quot;"/>
    <numFmt numFmtId="205" formatCode="#,##0\ &quot;cajas&quot;"/>
    <numFmt numFmtId="206" formatCode="#,##0\ &quot;Kg/dia&quot;"/>
    <numFmt numFmtId="207" formatCode="#,##0.00\ &quot;Km&quot;"/>
    <numFmt numFmtId="208" formatCode="#,#00\ &quot;pedidos&quot;"/>
    <numFmt numFmtId="209" formatCode="#,#00\ &quot;Expedición&quot;"/>
    <numFmt numFmtId="210" formatCode="#,##0\ &quot;Kg&quot;"/>
    <numFmt numFmtId="211" formatCode="#,##0.0\ &quot;€&quot;"/>
    <numFmt numFmtId="212" formatCode="#,##0.0000\ &quot;€ Kg/dia&quot;"/>
    <numFmt numFmtId="213" formatCode="#,##0.000\ &quot;€/Kg&quot;"/>
    <numFmt numFmtId="214" formatCode="#,##0.000\ &quot;€/Km&quot;"/>
    <numFmt numFmtId="215" formatCode="#,##0.00\ &quot;€/Kg&quot;"/>
    <numFmt numFmtId="216" formatCode="#,##0.00\ &quot;€/Km&quot;"/>
    <numFmt numFmtId="217" formatCode="#,##0.0000\ &quot;€/kg&quot;"/>
    <numFmt numFmtId="218" formatCode="#,##0.0\ &quot;Kg/palet&quot;"/>
    <numFmt numFmtId="219" formatCode="#,##0.0\ &quot;Kg/caja&quot;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Cambria"/>
      <family val="1"/>
      <scheme val="maj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7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4" xfId="0" applyBorder="1"/>
    <xf numFmtId="0" fontId="0" fillId="2" borderId="8" xfId="0" applyFill="1" applyBorder="1"/>
    <xf numFmtId="0" fontId="0" fillId="2" borderId="6" xfId="0" applyFill="1" applyBorder="1"/>
    <xf numFmtId="0" fontId="2" fillId="0" borderId="2" xfId="0" applyFont="1" applyBorder="1"/>
    <xf numFmtId="0" fontId="2" fillId="0" borderId="4" xfId="0" applyFont="1" applyBorder="1"/>
    <xf numFmtId="0" fontId="0" fillId="0" borderId="3" xfId="0" applyBorder="1"/>
    <xf numFmtId="0" fontId="6" fillId="0" borderId="2" xfId="0" applyFont="1" applyBorder="1" applyAlignment="1"/>
    <xf numFmtId="0" fontId="4" fillId="0" borderId="0" xfId="0" applyFont="1"/>
    <xf numFmtId="0" fontId="8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7" xfId="0" applyFont="1" applyBorder="1"/>
    <xf numFmtId="0" fontId="2" fillId="0" borderId="0" xfId="0" applyFont="1" applyBorder="1"/>
    <xf numFmtId="0" fontId="0" fillId="0" borderId="7" xfId="0" applyBorder="1"/>
    <xf numFmtId="0" fontId="2" fillId="0" borderId="4" xfId="0" applyFont="1" applyFill="1" applyBorder="1"/>
    <xf numFmtId="0" fontId="2" fillId="0" borderId="2" xfId="0" applyFont="1" applyFill="1" applyBorder="1"/>
    <xf numFmtId="0" fontId="0" fillId="0" borderId="2" xfId="0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5" fontId="2" fillId="0" borderId="1" xfId="1" applyNumberFormat="1" applyFont="1" applyBorder="1"/>
    <xf numFmtId="5" fontId="2" fillId="0" borderId="3" xfId="1" applyNumberFormat="1" applyFont="1" applyBorder="1"/>
    <xf numFmtId="5" fontId="2" fillId="0" borderId="3" xfId="1" applyNumberFormat="1" applyFont="1" applyFill="1" applyBorder="1"/>
    <xf numFmtId="5" fontId="2" fillId="2" borderId="5" xfId="0" applyNumberFormat="1" applyFont="1" applyFill="1" applyBorder="1"/>
    <xf numFmtId="165" fontId="2" fillId="2" borderId="5" xfId="0" applyNumberFormat="1" applyFont="1" applyFill="1" applyBorder="1"/>
    <xf numFmtId="165" fontId="2" fillId="0" borderId="3" xfId="3" applyNumberFormat="1" applyFont="1" applyFill="1" applyBorder="1"/>
    <xf numFmtId="167" fontId="2" fillId="0" borderId="2" xfId="0" applyNumberFormat="1" applyFont="1" applyBorder="1"/>
    <xf numFmtId="165" fontId="2" fillId="0" borderId="0" xfId="0" applyNumberFormat="1" applyFont="1"/>
    <xf numFmtId="168" fontId="2" fillId="0" borderId="2" xfId="2" applyNumberFormat="1" applyFont="1" applyBorder="1" applyAlignment="1">
      <alignment vertical="center"/>
    </xf>
    <xf numFmtId="168" fontId="2" fillId="0" borderId="4" xfId="2" applyNumberFormat="1" applyFont="1" applyBorder="1"/>
    <xf numFmtId="168" fontId="2" fillId="2" borderId="6" xfId="2" applyNumberFormat="1" applyFont="1" applyFill="1" applyBorder="1"/>
    <xf numFmtId="168" fontId="0" fillId="0" borderId="2" xfId="0" applyNumberFormat="1" applyBorder="1" applyAlignment="1">
      <alignment vertical="center"/>
    </xf>
    <xf numFmtId="168" fontId="0" fillId="0" borderId="4" xfId="0" applyNumberFormat="1" applyBorder="1"/>
    <xf numFmtId="168" fontId="2" fillId="0" borderId="4" xfId="0" applyNumberFormat="1" applyFont="1" applyBorder="1"/>
    <xf numFmtId="168" fontId="2" fillId="2" borderId="6" xfId="0" applyNumberFormat="1" applyFont="1" applyFill="1" applyBorder="1"/>
    <xf numFmtId="0" fontId="0" fillId="0" borderId="12" xfId="0" applyBorder="1"/>
    <xf numFmtId="0" fontId="0" fillId="0" borderId="5" xfId="0" applyBorder="1"/>
    <xf numFmtId="0" fontId="2" fillId="0" borderId="0" xfId="0" applyFont="1" applyAlignment="1">
      <alignment horizontal="center"/>
    </xf>
    <xf numFmtId="5" fontId="0" fillId="0" borderId="0" xfId="0" applyNumberFormat="1"/>
    <xf numFmtId="5" fontId="2" fillId="0" borderId="0" xfId="0" applyNumberFormat="1" applyFont="1"/>
    <xf numFmtId="5" fontId="2" fillId="0" borderId="9" xfId="0" applyNumberFormat="1" applyFont="1" applyBorder="1"/>
    <xf numFmtId="0" fontId="15" fillId="3" borderId="0" xfId="0" applyFont="1" applyFill="1"/>
    <xf numFmtId="0" fontId="14" fillId="3" borderId="0" xfId="0" applyFont="1" applyFill="1"/>
    <xf numFmtId="171" fontId="2" fillId="0" borderId="0" xfId="0" applyNumberFormat="1" applyFont="1" applyBorder="1"/>
    <xf numFmtId="170" fontId="16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wrapText="1"/>
    </xf>
    <xf numFmtId="172" fontId="2" fillId="0" borderId="0" xfId="0" applyNumberFormat="1" applyFont="1"/>
    <xf numFmtId="173" fontId="16" fillId="0" borderId="0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174" fontId="2" fillId="0" borderId="0" xfId="0" applyNumberFormat="1" applyFont="1" applyBorder="1"/>
    <xf numFmtId="9" fontId="2" fillId="0" borderId="0" xfId="2" applyFont="1" applyAlignment="1">
      <alignment horizontal="center"/>
    </xf>
    <xf numFmtId="170" fontId="17" fillId="0" borderId="0" xfId="0" applyNumberFormat="1" applyFont="1" applyFill="1" applyBorder="1" applyAlignment="1">
      <alignment horizontal="right"/>
    </xf>
    <xf numFmtId="2" fontId="0" fillId="0" borderId="0" xfId="0" applyNumberFormat="1"/>
    <xf numFmtId="172" fontId="2" fillId="0" borderId="9" xfId="0" applyNumberFormat="1" applyFont="1" applyBorder="1"/>
    <xf numFmtId="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5" fontId="1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right"/>
    </xf>
    <xf numFmtId="5" fontId="2" fillId="0" borderId="0" xfId="0" applyNumberFormat="1" applyFont="1" applyAlignment="1">
      <alignment horizontal="center"/>
    </xf>
    <xf numFmtId="0" fontId="21" fillId="0" borderId="0" xfId="0" applyFont="1"/>
    <xf numFmtId="0" fontId="1" fillId="0" borderId="6" xfId="0" applyFont="1" applyBorder="1" applyAlignment="1">
      <alignment horizontal="right"/>
    </xf>
    <xf numFmtId="5" fontId="1" fillId="0" borderId="14" xfId="0" applyNumberFormat="1" applyFont="1" applyBorder="1" applyAlignment="1">
      <alignment vertical="center"/>
    </xf>
    <xf numFmtId="5" fontId="1" fillId="0" borderId="16" xfId="0" applyNumberFormat="1" applyFont="1" applyBorder="1" applyAlignment="1">
      <alignment vertical="center"/>
    </xf>
    <xf numFmtId="5" fontId="1" fillId="0" borderId="15" xfId="0" applyNumberFormat="1" applyFont="1" applyBorder="1"/>
    <xf numFmtId="5" fontId="1" fillId="0" borderId="14" xfId="0" applyNumberFormat="1" applyFont="1" applyBorder="1"/>
    <xf numFmtId="176" fontId="1" fillId="0" borderId="14" xfId="0" applyNumberFormat="1" applyFont="1" applyBorder="1"/>
    <xf numFmtId="176" fontId="1" fillId="0" borderId="17" xfId="0" applyNumberFormat="1" applyFont="1" applyBorder="1"/>
    <xf numFmtId="0" fontId="0" fillId="0" borderId="15" xfId="0" applyBorder="1"/>
    <xf numFmtId="5" fontId="1" fillId="0" borderId="9" xfId="0" applyNumberFormat="1" applyFont="1" applyBorder="1"/>
    <xf numFmtId="0" fontId="1" fillId="0" borderId="10" xfId="0" applyFont="1" applyBorder="1"/>
    <xf numFmtId="0" fontId="0" fillId="0" borderId="11" xfId="0" applyBorder="1"/>
    <xf numFmtId="5" fontId="2" fillId="0" borderId="11" xfId="0" applyNumberFormat="1" applyFont="1" applyBorder="1"/>
    <xf numFmtId="0" fontId="2" fillId="0" borderId="11" xfId="0" applyFont="1" applyBorder="1"/>
    <xf numFmtId="5" fontId="1" fillId="0" borderId="11" xfId="0" applyNumberFormat="1" applyFont="1" applyBorder="1"/>
    <xf numFmtId="177" fontId="2" fillId="0" borderId="12" xfId="3" applyNumberFormat="1" applyFont="1" applyBorder="1"/>
    <xf numFmtId="5" fontId="2" fillId="0" borderId="0" xfId="0" applyNumberFormat="1" applyFont="1" applyAlignment="1">
      <alignment horizontal="right"/>
    </xf>
    <xf numFmtId="5" fontId="21" fillId="0" borderId="0" xfId="0" applyNumberFormat="1" applyFont="1" applyAlignment="1">
      <alignment horizontal="right"/>
    </xf>
    <xf numFmtId="178" fontId="2" fillId="0" borderId="0" xfId="0" applyNumberFormat="1" applyFont="1"/>
    <xf numFmtId="179" fontId="2" fillId="0" borderId="0" xfId="0" applyNumberFormat="1" applyFont="1"/>
    <xf numFmtId="164" fontId="2" fillId="0" borderId="0" xfId="0" applyNumberFormat="1" applyFont="1"/>
    <xf numFmtId="180" fontId="2" fillId="0" borderId="0" xfId="0" applyNumberFormat="1" applyFont="1"/>
    <xf numFmtId="178" fontId="2" fillId="0" borderId="9" xfId="0" applyNumberFormat="1" applyFont="1" applyBorder="1"/>
    <xf numFmtId="164" fontId="2" fillId="0" borderId="9" xfId="0" applyNumberFormat="1" applyFont="1" applyBorder="1"/>
    <xf numFmtId="180" fontId="2" fillId="0" borderId="9" xfId="0" applyNumberFormat="1" applyFont="1" applyBorder="1"/>
    <xf numFmtId="179" fontId="2" fillId="0" borderId="9" xfId="0" applyNumberFormat="1" applyFont="1" applyBorder="1"/>
    <xf numFmtId="178" fontId="2" fillId="0" borderId="0" xfId="0" applyNumberFormat="1" applyFont="1" applyFill="1" applyBorder="1"/>
    <xf numFmtId="5" fontId="2" fillId="0" borderId="0" xfId="0" applyNumberFormat="1" applyFont="1" applyFill="1" applyBorder="1"/>
    <xf numFmtId="5" fontId="2" fillId="2" borderId="6" xfId="0" applyNumberFormat="1" applyFont="1" applyFill="1" applyBorder="1" applyAlignment="1">
      <alignment horizontal="center"/>
    </xf>
    <xf numFmtId="9" fontId="0" fillId="0" borderId="0" xfId="2" applyFont="1"/>
    <xf numFmtId="0" fontId="1" fillId="0" borderId="3" xfId="0" applyFont="1" applyBorder="1"/>
    <xf numFmtId="0" fontId="0" fillId="0" borderId="6" xfId="0" applyBorder="1"/>
    <xf numFmtId="183" fontId="2" fillId="0" borderId="0" xfId="0" applyNumberFormat="1" applyFont="1"/>
    <xf numFmtId="0" fontId="14" fillId="3" borderId="0" xfId="0" applyFont="1" applyFill="1" applyBorder="1"/>
    <xf numFmtId="0" fontId="4" fillId="0" borderId="0" xfId="0" applyFont="1" applyBorder="1" applyAlignment="1">
      <alignment vertical="center"/>
    </xf>
    <xf numFmtId="184" fontId="0" fillId="0" borderId="0" xfId="0" applyNumberFormat="1"/>
    <xf numFmtId="0" fontId="13" fillId="0" borderId="0" xfId="0" applyFont="1" applyAlignment="1">
      <alignment wrapText="1"/>
    </xf>
    <xf numFmtId="168" fontId="2" fillId="0" borderId="4" xfId="2" applyNumberFormat="1" applyFont="1" applyFill="1" applyBorder="1"/>
    <xf numFmtId="5" fontId="28" fillId="0" borderId="1" xfId="4" applyNumberFormat="1" applyFont="1" applyFill="1" applyBorder="1"/>
    <xf numFmtId="5" fontId="28" fillId="0" borderId="3" xfId="4" applyNumberFormat="1" applyFont="1" applyFill="1" applyBorder="1"/>
    <xf numFmtId="0" fontId="28" fillId="0" borderId="2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0" fillId="0" borderId="13" xfId="0" applyBorder="1"/>
    <xf numFmtId="42" fontId="28" fillId="0" borderId="4" xfId="3" applyNumberFormat="1" applyFont="1" applyBorder="1"/>
    <xf numFmtId="5" fontId="28" fillId="0" borderId="3" xfId="4" applyNumberFormat="1" applyFont="1" applyBorder="1"/>
    <xf numFmtId="164" fontId="2" fillId="0" borderId="4" xfId="0" applyNumberFormat="1" applyFont="1" applyBorder="1"/>
    <xf numFmtId="165" fontId="2" fillId="0" borderId="4" xfId="3" applyNumberFormat="1" applyFont="1" applyBorder="1"/>
    <xf numFmtId="166" fontId="28" fillId="0" borderId="2" xfId="4" applyNumberFormat="1" applyFont="1" applyBorder="1"/>
    <xf numFmtId="0" fontId="0" fillId="0" borderId="13" xfId="0" applyFill="1" applyBorder="1"/>
    <xf numFmtId="0" fontId="2" fillId="0" borderId="4" xfId="0" applyFont="1" applyBorder="1" applyAlignment="1">
      <alignment horizontal="center"/>
    </xf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0" fontId="0" fillId="5" borderId="0" xfId="0" applyFill="1"/>
    <xf numFmtId="0" fontId="0" fillId="5" borderId="13" xfId="0" applyFill="1" applyBorder="1"/>
    <xf numFmtId="5" fontId="2" fillId="4" borderId="1" xfId="1" applyNumberFormat="1" applyFont="1" applyFill="1" applyBorder="1"/>
    <xf numFmtId="164" fontId="2" fillId="4" borderId="2" xfId="0" applyNumberFormat="1" applyFont="1" applyFill="1" applyBorder="1"/>
    <xf numFmtId="5" fontId="28" fillId="0" borderId="1" xfId="4" applyNumberFormat="1" applyFont="1" applyBorder="1"/>
    <xf numFmtId="164" fontId="28" fillId="0" borderId="2" xfId="4" applyNumberFormat="1" applyFont="1" applyBorder="1"/>
    <xf numFmtId="164" fontId="2" fillId="0" borderId="2" xfId="0" applyNumberFormat="1" applyFont="1" applyBorder="1"/>
    <xf numFmtId="5" fontId="2" fillId="4" borderId="3" xfId="1" applyNumberFormat="1" applyFont="1" applyFill="1" applyBorder="1"/>
    <xf numFmtId="165" fontId="2" fillId="4" borderId="3" xfId="3" applyNumberFormat="1" applyFont="1" applyFill="1" applyBorder="1"/>
    <xf numFmtId="165" fontId="2" fillId="0" borderId="4" xfId="3" applyNumberFormat="1" applyFont="1" applyFill="1" applyBorder="1"/>
    <xf numFmtId="5" fontId="21" fillId="2" borderId="5" xfId="0" applyNumberFormat="1" applyFont="1" applyFill="1" applyBorder="1"/>
    <xf numFmtId="5" fontId="2" fillId="2" borderId="6" xfId="0" applyNumberFormat="1" applyFont="1" applyFill="1" applyBorder="1"/>
    <xf numFmtId="0" fontId="2" fillId="0" borderId="3" xfId="0" applyFont="1" applyBorder="1"/>
    <xf numFmtId="0" fontId="2" fillId="0" borderId="3" xfId="0" applyFont="1" applyFill="1" applyBorder="1"/>
    <xf numFmtId="5" fontId="2" fillId="0" borderId="1" xfId="1" applyNumberFormat="1" applyFont="1" applyFill="1" applyBorder="1"/>
    <xf numFmtId="166" fontId="28" fillId="0" borderId="0" xfId="4" applyNumberFormat="1" applyFont="1"/>
    <xf numFmtId="167" fontId="28" fillId="0" borderId="2" xfId="4" applyNumberFormat="1" applyFont="1" applyBorder="1" applyAlignment="1">
      <alignment horizontal="center"/>
    </xf>
    <xf numFmtId="42" fontId="2" fillId="0" borderId="1" xfId="3" applyNumberFormat="1" applyFont="1" applyBorder="1"/>
    <xf numFmtId="42" fontId="2" fillId="0" borderId="7" xfId="0" applyNumberFormat="1" applyFont="1" applyBorder="1"/>
    <xf numFmtId="0" fontId="30" fillId="0" borderId="2" xfId="0" applyFont="1" applyBorder="1"/>
    <xf numFmtId="42" fontId="2" fillId="0" borderId="3" xfId="3" applyNumberFormat="1" applyFont="1" applyBorder="1"/>
    <xf numFmtId="42" fontId="2" fillId="0" borderId="0" xfId="0" applyNumberFormat="1" applyFont="1" applyBorder="1"/>
    <xf numFmtId="0" fontId="30" fillId="0" borderId="4" xfId="0" applyFont="1" applyBorder="1"/>
    <xf numFmtId="42" fontId="2" fillId="2" borderId="5" xfId="3" applyNumberFormat="1" applyFont="1" applyFill="1" applyBorder="1"/>
    <xf numFmtId="42" fontId="2" fillId="2" borderId="8" xfId="3" applyNumberFormat="1" applyFont="1" applyFill="1" applyBorder="1"/>
    <xf numFmtId="42" fontId="0" fillId="0" borderId="6" xfId="0" applyNumberFormat="1" applyBorder="1"/>
    <xf numFmtId="42" fontId="2" fillId="2" borderId="3" xfId="3" applyNumberFormat="1" applyFont="1" applyFill="1" applyBorder="1"/>
    <xf numFmtId="42" fontId="2" fillId="2" borderId="0" xfId="3" applyNumberFormat="1" applyFont="1" applyFill="1" applyBorder="1"/>
    <xf numFmtId="42" fontId="0" fillId="0" borderId="4" xfId="0" applyNumberFormat="1" applyBorder="1"/>
    <xf numFmtId="0" fontId="31" fillId="0" borderId="0" xfId="0" applyFont="1"/>
    <xf numFmtId="0" fontId="0" fillId="2" borderId="4" xfId="0" applyFill="1" applyBorder="1"/>
    <xf numFmtId="5" fontId="21" fillId="2" borderId="3" xfId="0" applyNumberFormat="1" applyFont="1" applyFill="1" applyBorder="1"/>
    <xf numFmtId="5" fontId="2" fillId="2" borderId="4" xfId="0" applyNumberFormat="1" applyFont="1" applyFill="1" applyBorder="1"/>
    <xf numFmtId="5" fontId="2" fillId="2" borderId="3" xfId="0" applyNumberFormat="1" applyFont="1" applyFill="1" applyBorder="1"/>
    <xf numFmtId="10" fontId="2" fillId="0" borderId="0" xfId="2" applyNumberFormat="1" applyFont="1" applyBorder="1"/>
    <xf numFmtId="0" fontId="28" fillId="0" borderId="2" xfId="4" applyFont="1" applyBorder="1" applyAlignment="1">
      <alignment horizontal="center"/>
    </xf>
    <xf numFmtId="0" fontId="0" fillId="0" borderId="8" xfId="0" applyBorder="1"/>
    <xf numFmtId="5" fontId="33" fillId="3" borderId="0" xfId="0" applyNumberFormat="1" applyFont="1" applyFill="1" applyBorder="1"/>
    <xf numFmtId="10" fontId="33" fillId="3" borderId="0" xfId="2" applyNumberFormat="1" applyFont="1" applyFill="1" applyBorder="1"/>
    <xf numFmtId="9" fontId="33" fillId="3" borderId="0" xfId="0" applyNumberFormat="1" applyFont="1" applyFill="1" applyBorder="1"/>
    <xf numFmtId="0" fontId="0" fillId="4" borderId="0" xfId="0" applyFill="1"/>
    <xf numFmtId="0" fontId="0" fillId="4" borderId="13" xfId="0" applyFill="1" applyBorder="1"/>
    <xf numFmtId="5" fontId="2" fillId="0" borderId="14" xfId="1" applyNumberFormat="1" applyFont="1" applyBorder="1"/>
    <xf numFmtId="5" fontId="2" fillId="0" borderId="17" xfId="1" applyNumberFormat="1" applyFont="1" applyBorder="1"/>
    <xf numFmtId="5" fontId="2" fillId="0" borderId="17" xfId="1" applyNumberFormat="1" applyFont="1" applyFill="1" applyBorder="1"/>
    <xf numFmtId="165" fontId="2" fillId="0" borderId="17" xfId="3" applyNumberFormat="1" applyFont="1" applyFill="1" applyBorder="1"/>
    <xf numFmtId="5" fontId="2" fillId="2" borderId="15" xfId="0" applyNumberFormat="1" applyFont="1" applyFill="1" applyBorder="1"/>
    <xf numFmtId="5" fontId="2" fillId="0" borderId="14" xfId="1" applyNumberFormat="1" applyFont="1" applyFill="1" applyBorder="1"/>
    <xf numFmtId="5" fontId="2" fillId="2" borderId="17" xfId="0" applyNumberFormat="1" applyFont="1" applyFill="1" applyBorder="1"/>
    <xf numFmtId="165" fontId="2" fillId="0" borderId="0" xfId="3" applyNumberFormat="1" applyFont="1" applyFill="1" applyBorder="1"/>
    <xf numFmtId="0" fontId="8" fillId="0" borderId="0" xfId="0" applyFont="1" applyBorder="1" applyAlignment="1">
      <alignment horizontal="center" vertical="center"/>
    </xf>
    <xf numFmtId="5" fontId="2" fillId="2" borderId="8" xfId="0" applyNumberFormat="1" applyFont="1" applyFill="1" applyBorder="1"/>
    <xf numFmtId="5" fontId="2" fillId="0" borderId="0" xfId="1" applyNumberFormat="1" applyFont="1" applyFill="1" applyBorder="1"/>
    <xf numFmtId="5" fontId="21" fillId="2" borderId="8" xfId="0" applyNumberFormat="1" applyFont="1" applyFill="1" applyBorder="1"/>
    <xf numFmtId="165" fontId="2" fillId="0" borderId="4" xfId="3" applyNumberFormat="1" applyFont="1" applyFill="1" applyBorder="1" applyProtection="1"/>
    <xf numFmtId="165" fontId="2" fillId="0" borderId="2" xfId="3" applyNumberFormat="1" applyFont="1" applyFill="1" applyBorder="1" applyProtection="1"/>
    <xf numFmtId="169" fontId="2" fillId="6" borderId="7" xfId="0" applyNumberFormat="1" applyFont="1" applyFill="1" applyBorder="1" applyProtection="1">
      <protection locked="0"/>
    </xf>
    <xf numFmtId="169" fontId="2" fillId="6" borderId="0" xfId="0" applyNumberFormat="1" applyFont="1" applyFill="1" applyBorder="1" applyProtection="1">
      <protection locked="0"/>
    </xf>
    <xf numFmtId="169" fontId="2" fillId="6" borderId="0" xfId="3" applyNumberFormat="1" applyFont="1" applyFill="1" applyBorder="1" applyProtection="1">
      <protection locked="0"/>
    </xf>
    <xf numFmtId="0" fontId="0" fillId="6" borderId="0" xfId="0" applyFill="1"/>
    <xf numFmtId="0" fontId="0" fillId="0" borderId="0" xfId="0" applyAlignment="1">
      <alignment horizontal="center"/>
    </xf>
    <xf numFmtId="0" fontId="8" fillId="0" borderId="0" xfId="0" applyFont="1" applyBorder="1" applyAlignment="1">
      <alignment vertical="center"/>
    </xf>
    <xf numFmtId="185" fontId="0" fillId="0" borderId="0" xfId="0" applyNumberFormat="1"/>
    <xf numFmtId="189" fontId="2" fillId="0" borderId="4" xfId="0" applyNumberFormat="1" applyFont="1" applyBorder="1"/>
    <xf numFmtId="0" fontId="0" fillId="0" borderId="0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85" fontId="0" fillId="0" borderId="0" xfId="0" applyNumberFormat="1" applyFill="1" applyBorder="1" applyAlignment="1"/>
    <xf numFmtId="185" fontId="0" fillId="0" borderId="4" xfId="0" applyNumberFormat="1" applyFill="1" applyBorder="1" applyAlignment="1"/>
    <xf numFmtId="192" fontId="1" fillId="0" borderId="0" xfId="0" applyNumberFormat="1" applyFont="1" applyBorder="1"/>
    <xf numFmtId="195" fontId="1" fillId="0" borderId="4" xfId="0" applyNumberFormat="1" applyFont="1" applyBorder="1"/>
    <xf numFmtId="194" fontId="0" fillId="0" borderId="0" xfId="0" applyNumberFormat="1" applyBorder="1"/>
    <xf numFmtId="194" fontId="0" fillId="0" borderId="4" xfId="0" applyNumberFormat="1" applyBorder="1"/>
    <xf numFmtId="0" fontId="34" fillId="0" borderId="1" xfId="0" applyFont="1" applyBorder="1"/>
    <xf numFmtId="184" fontId="0" fillId="0" borderId="0" xfId="0" applyNumberFormat="1" applyBorder="1" applyAlignment="1"/>
    <xf numFmtId="9" fontId="2" fillId="0" borderId="0" xfId="2" applyFont="1" applyBorder="1" applyAlignment="1"/>
    <xf numFmtId="5" fontId="0" fillId="0" borderId="8" xfId="0" applyNumberFormat="1" applyBorder="1"/>
    <xf numFmtId="9" fontId="2" fillId="0" borderId="8" xfId="2" applyFont="1" applyBorder="1" applyAlignment="1"/>
    <xf numFmtId="188" fontId="2" fillId="0" borderId="4" xfId="0" applyNumberFormat="1" applyFont="1" applyBorder="1"/>
    <xf numFmtId="190" fontId="2" fillId="0" borderId="4" xfId="0" applyNumberFormat="1" applyFont="1" applyBorder="1"/>
    <xf numFmtId="191" fontId="2" fillId="0" borderId="6" xfId="2" applyNumberFormat="1" applyFont="1" applyBorder="1"/>
    <xf numFmtId="0" fontId="24" fillId="0" borderId="0" xfId="0" applyFont="1" applyBorder="1" applyAlignment="1">
      <alignment vertical="center"/>
    </xf>
    <xf numFmtId="7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horizontal="right" vertical="center"/>
    </xf>
    <xf numFmtId="0" fontId="0" fillId="0" borderId="0" xfId="0" applyAlignment="1"/>
    <xf numFmtId="185" fontId="0" fillId="0" borderId="0" xfId="0" applyNumberFormat="1" applyAlignment="1"/>
    <xf numFmtId="0" fontId="0" fillId="0" borderId="1" xfId="0" applyBorder="1"/>
    <xf numFmtId="185" fontId="0" fillId="0" borderId="0" xfId="0" applyNumberFormat="1" applyFill="1" applyBorder="1"/>
    <xf numFmtId="5" fontId="0" fillId="0" borderId="0" xfId="0" applyNumberFormat="1" applyBorder="1"/>
    <xf numFmtId="9" fontId="2" fillId="0" borderId="4" xfId="2" applyFont="1" applyBorder="1" applyAlignment="1">
      <alignment horizontal="left"/>
    </xf>
    <xf numFmtId="9" fontId="2" fillId="0" borderId="6" xfId="2" applyFont="1" applyBorder="1" applyAlignment="1">
      <alignment horizontal="left"/>
    </xf>
    <xf numFmtId="197" fontId="0" fillId="0" borderId="0" xfId="0" applyNumberFormat="1" applyFill="1" applyBorder="1" applyAlignment="1">
      <alignment horizontal="center"/>
    </xf>
    <xf numFmtId="185" fontId="0" fillId="0" borderId="4" xfId="0" applyNumberFormat="1" applyBorder="1" applyAlignment="1">
      <alignment horizontal="center"/>
    </xf>
    <xf numFmtId="197" fontId="0" fillId="0" borderId="0" xfId="0" applyNumberFormat="1" applyBorder="1" applyAlignment="1">
      <alignment horizontal="center"/>
    </xf>
    <xf numFmtId="198" fontId="0" fillId="0" borderId="4" xfId="0" applyNumberFormat="1" applyBorder="1" applyAlignment="1">
      <alignment horizontal="center"/>
    </xf>
    <xf numFmtId="199" fontId="0" fillId="0" borderId="0" xfId="0" applyNumberFormat="1" applyBorder="1" applyAlignment="1">
      <alignment horizontal="center"/>
    </xf>
    <xf numFmtId="199" fontId="0" fillId="0" borderId="4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81" fontId="0" fillId="0" borderId="0" xfId="0" applyNumberFormat="1" applyBorder="1" applyAlignment="1">
      <alignment horizontal="center"/>
    </xf>
    <xf numFmtId="200" fontId="0" fillId="0" borderId="4" xfId="0" applyNumberFormat="1" applyBorder="1" applyAlignment="1">
      <alignment horizontal="center"/>
    </xf>
    <xf numFmtId="185" fontId="7" fillId="2" borderId="0" xfId="0" applyNumberFormat="1" applyFont="1" applyFill="1" applyBorder="1" applyAlignment="1">
      <alignment horizontal="right" vertical="center"/>
    </xf>
    <xf numFmtId="197" fontId="7" fillId="2" borderId="0" xfId="0" applyNumberFormat="1" applyFont="1" applyFill="1" applyBorder="1"/>
    <xf numFmtId="186" fontId="7" fillId="2" borderId="0" xfId="0" applyNumberFormat="1" applyFont="1" applyFill="1" applyBorder="1" applyAlignment="1" applyProtection="1">
      <alignment horizontal="right" vertical="center"/>
      <protection locked="0"/>
    </xf>
    <xf numFmtId="178" fontId="0" fillId="0" borderId="0" xfId="0" applyNumberFormat="1"/>
    <xf numFmtId="186" fontId="0" fillId="0" borderId="0" xfId="0" applyNumberFormat="1" applyFill="1" applyBorder="1" applyAlignment="1" applyProtection="1"/>
    <xf numFmtId="185" fontId="0" fillId="0" borderId="0" xfId="0" applyNumberFormat="1" applyFill="1" applyBorder="1" applyAlignment="1" applyProtection="1"/>
    <xf numFmtId="185" fontId="0" fillId="0" borderId="8" xfId="0" applyNumberFormat="1" applyFill="1" applyBorder="1" applyAlignment="1" applyProtection="1"/>
    <xf numFmtId="197" fontId="0" fillId="0" borderId="0" xfId="0" applyNumberFormat="1" applyFill="1" applyBorder="1"/>
    <xf numFmtId="185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85" fontId="1" fillId="0" borderId="4" xfId="0" applyNumberFormat="1" applyFont="1" applyFill="1" applyBorder="1" applyAlignment="1" applyProtection="1">
      <alignment horizontal="center"/>
    </xf>
    <xf numFmtId="0" fontId="36" fillId="0" borderId="0" xfId="0" applyFont="1"/>
    <xf numFmtId="9" fontId="1" fillId="0" borderId="0" xfId="2" applyFont="1" applyBorder="1" applyAlignment="1">
      <alignment horizontal="center"/>
    </xf>
    <xf numFmtId="9" fontId="1" fillId="0" borderId="0" xfId="2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0" fillId="0" borderId="7" xfId="2" applyNumberFormat="1" applyFont="1" applyBorder="1"/>
    <xf numFmtId="5" fontId="0" fillId="0" borderId="7" xfId="0" applyNumberFormat="1" applyBorder="1"/>
    <xf numFmtId="168" fontId="0" fillId="0" borderId="8" xfId="2" applyNumberFormat="1" applyFont="1" applyBorder="1"/>
    <xf numFmtId="0" fontId="0" fillId="0" borderId="6" xfId="0" applyBorder="1" applyAlignment="1">
      <alignment horizontal="center"/>
    </xf>
    <xf numFmtId="0" fontId="36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87" fontId="2" fillId="0" borderId="0" xfId="0" applyNumberFormat="1" applyFont="1" applyBorder="1"/>
    <xf numFmtId="211" fontId="1" fillId="0" borderId="4" xfId="0" applyNumberFormat="1" applyFont="1" applyBorder="1" applyAlignment="1"/>
    <xf numFmtId="168" fontId="0" fillId="0" borderId="0" xfId="2" applyNumberFormat="1" applyFont="1" applyBorder="1"/>
    <xf numFmtId="211" fontId="0" fillId="0" borderId="18" xfId="0" applyNumberFormat="1" applyBorder="1"/>
    <xf numFmtId="211" fontId="0" fillId="0" borderId="4" xfId="0" applyNumberFormat="1" applyBorder="1"/>
    <xf numFmtId="200" fontId="0" fillId="0" borderId="0" xfId="0" applyNumberFormat="1" applyBorder="1"/>
    <xf numFmtId="181" fontId="0" fillId="0" borderId="0" xfId="0" applyNumberFormat="1" applyBorder="1"/>
    <xf numFmtId="10" fontId="0" fillId="0" borderId="0" xfId="2" applyNumberFormat="1" applyFont="1" applyBorder="1"/>
    <xf numFmtId="211" fontId="0" fillId="0" borderId="6" xfId="0" applyNumberFormat="1" applyBorder="1"/>
    <xf numFmtId="194" fontId="2" fillId="0" borderId="0" xfId="0" applyNumberFormat="1" applyFont="1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208" fontId="2" fillId="0" borderId="1" xfId="0" applyNumberFormat="1" applyFont="1" applyBorder="1" applyAlignment="1">
      <alignment vertical="center"/>
    </xf>
    <xf numFmtId="175" fontId="2" fillId="0" borderId="7" xfId="0" applyNumberFormat="1" applyFont="1" applyBorder="1" applyAlignment="1">
      <alignment horizontal="center" vertical="center"/>
    </xf>
    <xf numFmtId="205" fontId="2" fillId="0" borderId="2" xfId="0" applyNumberFormat="1" applyFont="1" applyBorder="1" applyAlignment="1">
      <alignment horizontal="center" vertical="center"/>
    </xf>
    <xf numFmtId="210" fontId="2" fillId="0" borderId="5" xfId="0" applyNumberFormat="1" applyFont="1" applyBorder="1"/>
    <xf numFmtId="210" fontId="2" fillId="0" borderId="8" xfId="0" applyNumberFormat="1" applyFont="1" applyFill="1" applyBorder="1" applyAlignment="1">
      <alignment horizontal="center"/>
    </xf>
    <xf numFmtId="210" fontId="2" fillId="0" borderId="6" xfId="0" applyNumberFormat="1" applyFont="1" applyFill="1" applyBorder="1" applyAlignment="1">
      <alignment horizontal="center"/>
    </xf>
    <xf numFmtId="209" fontId="2" fillId="0" borderId="1" xfId="0" applyNumberFormat="1" applyFont="1" applyBorder="1" applyAlignment="1"/>
    <xf numFmtId="197" fontId="2" fillId="0" borderId="7" xfId="0" applyNumberFormat="1" applyFont="1" applyFill="1" applyBorder="1"/>
    <xf numFmtId="210" fontId="2" fillId="0" borderId="2" xfId="0" applyNumberFormat="1" applyFont="1" applyBorder="1"/>
    <xf numFmtId="0" fontId="0" fillId="0" borderId="14" xfId="0" applyBorder="1"/>
    <xf numFmtId="184" fontId="1" fillId="0" borderId="5" xfId="0" applyNumberFormat="1" applyFont="1" applyBorder="1" applyAlignment="1"/>
    <xf numFmtId="212" fontId="1" fillId="0" borderId="8" xfId="0" applyNumberFormat="1" applyFont="1" applyBorder="1"/>
    <xf numFmtId="213" fontId="1" fillId="0" borderId="6" xfId="0" applyNumberFormat="1" applyFont="1" applyBorder="1"/>
    <xf numFmtId="214" fontId="1" fillId="0" borderId="8" xfId="0" applyNumberFormat="1" applyFont="1" applyBorder="1" applyAlignment="1">
      <alignment horizontal="center"/>
    </xf>
    <xf numFmtId="215" fontId="1" fillId="0" borderId="6" xfId="0" applyNumberFormat="1" applyFont="1" applyBorder="1" applyAlignment="1">
      <alignment horizontal="center"/>
    </xf>
    <xf numFmtId="44" fontId="1" fillId="0" borderId="1" xfId="3" applyFont="1" applyBorder="1"/>
    <xf numFmtId="184" fontId="0" fillId="0" borderId="14" xfId="0" applyNumberFormat="1" applyBorder="1" applyAlignment="1">
      <alignment vertical="center"/>
    </xf>
    <xf numFmtId="168" fontId="0" fillId="0" borderId="15" xfId="2" applyNumberFormat="1" applyFont="1" applyBorder="1" applyAlignment="1">
      <alignment horizontal="center" vertical="center"/>
    </xf>
    <xf numFmtId="211" fontId="0" fillId="0" borderId="14" xfId="0" applyNumberFormat="1" applyBorder="1"/>
    <xf numFmtId="211" fontId="0" fillId="0" borderId="15" xfId="0" applyNumberFormat="1" applyBorder="1"/>
    <xf numFmtId="5" fontId="0" fillId="0" borderId="1" xfId="0" applyNumberFormat="1" applyBorder="1"/>
    <xf numFmtId="184" fontId="0" fillId="0" borderId="14" xfId="0" applyNumberFormat="1" applyBorder="1"/>
    <xf numFmtId="5" fontId="0" fillId="0" borderId="14" xfId="0" applyNumberFormat="1" applyBorder="1"/>
    <xf numFmtId="5" fontId="0" fillId="0" borderId="17" xfId="0" applyNumberFormat="1" applyBorder="1"/>
    <xf numFmtId="5" fontId="0" fillId="0" borderId="15" xfId="0" applyNumberFormat="1" applyBorder="1"/>
    <xf numFmtId="184" fontId="0" fillId="0" borderId="13" xfId="0" applyNumberFormat="1" applyBorder="1"/>
    <xf numFmtId="212" fontId="29" fillId="0" borderId="7" xfId="0" applyNumberFormat="1" applyFont="1" applyBorder="1"/>
    <xf numFmtId="213" fontId="29" fillId="0" borderId="2" xfId="0" applyNumberFormat="1" applyFont="1" applyBorder="1"/>
    <xf numFmtId="216" fontId="29" fillId="0" borderId="7" xfId="0" applyNumberFormat="1" applyFont="1" applyBorder="1" applyAlignment="1">
      <alignment horizontal="center"/>
    </xf>
    <xf numFmtId="215" fontId="29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193" fontId="1" fillId="0" borderId="0" xfId="0" applyNumberFormat="1" applyFont="1" applyFill="1" applyBorder="1" applyAlignment="1" applyProtection="1">
      <alignment horizontal="center"/>
    </xf>
    <xf numFmtId="196" fontId="1" fillId="0" borderId="4" xfId="0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 vertical="center" wrapText="1"/>
    </xf>
    <xf numFmtId="184" fontId="7" fillId="2" borderId="0" xfId="0" applyNumberFormat="1" applyFont="1" applyFill="1" applyBorder="1" applyAlignment="1"/>
    <xf numFmtId="0" fontId="1" fillId="0" borderId="0" xfId="0" applyFont="1" applyFill="1"/>
    <xf numFmtId="182" fontId="7" fillId="2" borderId="0" xfId="0" applyNumberFormat="1" applyFont="1" applyFill="1"/>
    <xf numFmtId="166" fontId="40" fillId="2" borderId="0" xfId="4" applyNumberFormat="1" applyFont="1" applyFill="1"/>
    <xf numFmtId="0" fontId="2" fillId="0" borderId="6" xfId="0" applyFont="1" applyBorder="1" applyAlignment="1">
      <alignment horizontal="center" wrapText="1"/>
    </xf>
    <xf numFmtId="165" fontId="0" fillId="0" borderId="0" xfId="0" applyNumberFormat="1"/>
    <xf numFmtId="5" fontId="41" fillId="3" borderId="0" xfId="0" applyNumberFormat="1" applyFont="1" applyFill="1" applyAlignment="1">
      <alignment horizontal="center"/>
    </xf>
    <xf numFmtId="5" fontId="33" fillId="3" borderId="0" xfId="0" applyNumberFormat="1" applyFont="1" applyFill="1"/>
    <xf numFmtId="5" fontId="33" fillId="3" borderId="9" xfId="0" applyNumberFormat="1" applyFont="1" applyFill="1" applyBorder="1"/>
    <xf numFmtId="0" fontId="0" fillId="7" borderId="13" xfId="0" applyFill="1" applyBorder="1"/>
    <xf numFmtId="5" fontId="26" fillId="3" borderId="0" xfId="0" applyNumberFormat="1" applyFont="1" applyFill="1"/>
    <xf numFmtId="5" fontId="26" fillId="3" borderId="9" xfId="0" applyNumberFormat="1" applyFont="1" applyFill="1" applyBorder="1"/>
    <xf numFmtId="5" fontId="14" fillId="3" borderId="0" xfId="0" applyNumberFormat="1" applyFont="1" applyFill="1"/>
    <xf numFmtId="0" fontId="1" fillId="0" borderId="14" xfId="0" applyFont="1" applyBorder="1" applyAlignment="1">
      <alignment horizontal="left"/>
    </xf>
    <xf numFmtId="5" fontId="26" fillId="3" borderId="4" xfId="0" applyNumberFormat="1" applyFont="1" applyFill="1" applyBorder="1"/>
    <xf numFmtId="0" fontId="24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0" xfId="0" applyFont="1" applyAlignment="1">
      <alignment vertical="center"/>
    </xf>
    <xf numFmtId="175" fontId="2" fillId="2" borderId="1" xfId="0" applyNumberFormat="1" applyFont="1" applyFill="1" applyBorder="1" applyAlignment="1">
      <alignment horizontal="center" vertical="center"/>
    </xf>
    <xf numFmtId="201" fontId="2" fillId="2" borderId="7" xfId="0" applyNumberFormat="1" applyFont="1" applyFill="1" applyBorder="1" applyAlignment="1">
      <alignment horizontal="center" vertical="center"/>
    </xf>
    <xf numFmtId="185" fontId="2" fillId="2" borderId="3" xfId="0" applyNumberFormat="1" applyFont="1" applyFill="1" applyBorder="1" applyAlignment="1">
      <alignment horizontal="center"/>
    </xf>
    <xf numFmtId="185" fontId="2" fillId="2" borderId="0" xfId="0" applyNumberFormat="1" applyFont="1" applyFill="1" applyBorder="1" applyAlignment="1">
      <alignment horizontal="center"/>
    </xf>
    <xf numFmtId="175" fontId="2" fillId="2" borderId="3" xfId="0" applyNumberFormat="1" applyFont="1" applyFill="1" applyBorder="1" applyAlignment="1">
      <alignment horizontal="center" vertical="center"/>
    </xf>
    <xf numFmtId="201" fontId="2" fillId="2" borderId="0" xfId="0" applyNumberFormat="1" applyFont="1" applyFill="1" applyBorder="1" applyAlignment="1">
      <alignment horizontal="center" vertical="center"/>
    </xf>
    <xf numFmtId="185" fontId="2" fillId="0" borderId="5" xfId="0" applyNumberFormat="1" applyFont="1" applyFill="1" applyBorder="1" applyAlignment="1">
      <alignment horizontal="center"/>
    </xf>
    <xf numFmtId="185" fontId="2" fillId="0" borderId="8" xfId="0" applyNumberFormat="1" applyFont="1" applyFill="1" applyBorder="1" applyAlignment="1">
      <alignment horizontal="center"/>
    </xf>
    <xf numFmtId="185" fontId="33" fillId="3" borderId="6" xfId="0" applyNumberFormat="1" applyFont="1" applyFill="1" applyBorder="1" applyAlignment="1">
      <alignment horizontal="center"/>
    </xf>
    <xf numFmtId="203" fontId="33" fillId="3" borderId="6" xfId="0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5" fontId="2" fillId="0" borderId="3" xfId="0" applyNumberFormat="1" applyFont="1" applyBorder="1" applyAlignment="1">
      <alignment horizontal="center" vertical="center"/>
    </xf>
    <xf numFmtId="205" fontId="2" fillId="0" borderId="0" xfId="0" applyNumberFormat="1" applyFont="1" applyBorder="1" applyAlignment="1">
      <alignment horizontal="center" vertical="center"/>
    </xf>
    <xf numFmtId="198" fontId="2" fillId="0" borderId="3" xfId="0" applyNumberFormat="1" applyFont="1" applyFill="1" applyBorder="1" applyAlignment="1">
      <alignment horizontal="center"/>
    </xf>
    <xf numFmtId="198" fontId="2" fillId="0" borderId="0" xfId="0" applyNumberFormat="1" applyFont="1" applyFill="1" applyBorder="1" applyAlignment="1">
      <alignment horizontal="center"/>
    </xf>
    <xf numFmtId="198" fontId="33" fillId="3" borderId="4" xfId="0" applyNumberFormat="1" applyFont="1" applyFill="1" applyBorder="1"/>
    <xf numFmtId="206" fontId="33" fillId="3" borderId="6" xfId="0" applyNumberFormat="1" applyFont="1" applyFill="1" applyBorder="1"/>
    <xf numFmtId="0" fontId="2" fillId="0" borderId="5" xfId="0" applyFont="1" applyBorder="1"/>
    <xf numFmtId="207" fontId="33" fillId="3" borderId="6" xfId="0" applyNumberFormat="1" applyFont="1" applyFill="1" applyBorder="1"/>
    <xf numFmtId="207" fontId="33" fillId="3" borderId="4" xfId="0" applyNumberFormat="1" applyFont="1" applyFill="1" applyBorder="1"/>
    <xf numFmtId="185" fontId="33" fillId="3" borderId="6" xfId="0" applyNumberFormat="1" applyFont="1" applyFill="1" applyBorder="1"/>
    <xf numFmtId="198" fontId="2" fillId="0" borderId="5" xfId="0" applyNumberFormat="1" applyFont="1" applyFill="1" applyBorder="1" applyAlignment="1">
      <alignment horizontal="center"/>
    </xf>
    <xf numFmtId="198" fontId="2" fillId="0" borderId="8" xfId="0" applyNumberFormat="1" applyFont="1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  <xf numFmtId="9" fontId="0" fillId="4" borderId="4" xfId="2" applyFont="1" applyFill="1" applyBorder="1" applyAlignment="1">
      <alignment horizontal="center"/>
    </xf>
    <xf numFmtId="0" fontId="30" fillId="0" borderId="0" xfId="0" applyFont="1" applyBorder="1" applyAlignment="1">
      <alignment vertical="center"/>
    </xf>
    <xf numFmtId="217" fontId="0" fillId="0" borderId="0" xfId="0" applyNumberFormat="1" applyBorder="1"/>
    <xf numFmtId="210" fontId="1" fillId="4" borderId="0" xfId="0" applyNumberFormat="1" applyFont="1" applyFill="1" applyBorder="1" applyAlignment="1" applyProtection="1">
      <alignment vertical="center"/>
      <protection locked="0"/>
    </xf>
    <xf numFmtId="185" fontId="1" fillId="4" borderId="2" xfId="0" applyNumberFormat="1" applyFont="1" applyFill="1" applyBorder="1" applyAlignment="1" applyProtection="1">
      <alignment vertical="center"/>
      <protection locked="0"/>
    </xf>
    <xf numFmtId="186" fontId="1" fillId="4" borderId="4" xfId="0" applyNumberFormat="1" applyFont="1" applyFill="1" applyBorder="1" applyProtection="1">
      <protection locked="0"/>
    </xf>
    <xf numFmtId="199" fontId="0" fillId="4" borderId="6" xfId="0" applyNumberFormat="1" applyFill="1" applyBorder="1"/>
    <xf numFmtId="168" fontId="4" fillId="4" borderId="0" xfId="2" applyNumberFormat="1" applyFont="1" applyFill="1" applyBorder="1"/>
    <xf numFmtId="218" fontId="2" fillId="0" borderId="3" xfId="0" applyNumberFormat="1" applyFont="1" applyBorder="1"/>
    <xf numFmtId="219" fontId="2" fillId="0" borderId="0" xfId="0" applyNumberFormat="1" applyFont="1" applyBorder="1"/>
    <xf numFmtId="0" fontId="36" fillId="0" borderId="0" xfId="0" applyFont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08" fontId="2" fillId="0" borderId="1" xfId="0" applyNumberFormat="1" applyFont="1" applyBorder="1" applyAlignment="1">
      <alignment horizontal="center" vertical="center"/>
    </xf>
    <xf numFmtId="208" fontId="2" fillId="0" borderId="7" xfId="0" applyNumberFormat="1" applyFont="1" applyBorder="1" applyAlignment="1">
      <alignment horizontal="center" vertical="center"/>
    </xf>
    <xf numFmtId="209" fontId="2" fillId="0" borderId="1" xfId="0" applyNumberFormat="1" applyFont="1" applyBorder="1" applyAlignment="1">
      <alignment horizontal="center"/>
    </xf>
    <xf numFmtId="209" fontId="2" fillId="0" borderId="7" xfId="0" applyNumberFormat="1" applyFont="1" applyBorder="1" applyAlignment="1">
      <alignment horizontal="center"/>
    </xf>
    <xf numFmtId="209" fontId="2" fillId="0" borderId="2" xfId="0" applyNumberFormat="1" applyFont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202" fontId="2" fillId="2" borderId="1" xfId="0" applyNumberFormat="1" applyFont="1" applyFill="1" applyBorder="1" applyAlignment="1">
      <alignment horizontal="center"/>
    </xf>
    <xf numFmtId="202" fontId="2" fillId="2" borderId="7" xfId="0" applyNumberFormat="1" applyFont="1" applyFill="1" applyBorder="1" applyAlignment="1">
      <alignment horizontal="center"/>
    </xf>
    <xf numFmtId="202" fontId="2" fillId="2" borderId="2" xfId="0" applyNumberFormat="1" applyFont="1" applyFill="1" applyBorder="1" applyAlignment="1">
      <alignment horizontal="center"/>
    </xf>
    <xf numFmtId="204" fontId="2" fillId="2" borderId="1" xfId="0" applyNumberFormat="1" applyFont="1" applyFill="1" applyBorder="1" applyAlignment="1">
      <alignment horizontal="center" vertical="center"/>
    </xf>
    <xf numFmtId="204" fontId="2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196" fontId="1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5" fontId="1" fillId="0" borderId="0" xfId="0" applyNumberFormat="1" applyFont="1" applyAlignment="1">
      <alignment horizontal="left" vertical="center"/>
    </xf>
    <xf numFmtId="5" fontId="26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93" fontId="1" fillId="0" borderId="0" xfId="0" applyNumberFormat="1" applyFont="1" applyFill="1" applyBorder="1" applyAlignment="1">
      <alignment horizontal="center"/>
    </xf>
    <xf numFmtId="175" fontId="0" fillId="0" borderId="0" xfId="0" applyNumberFormat="1" applyBorder="1" applyAlignment="1">
      <alignment horizontal="center" vertical="center"/>
    </xf>
    <xf numFmtId="205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5" fontId="1" fillId="0" borderId="14" xfId="0" applyNumberFormat="1" applyFont="1" applyBorder="1" applyAlignment="1">
      <alignment horizontal="center" vertical="center"/>
    </xf>
    <xf numFmtId="5" fontId="1" fillId="0" borderId="15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4" fillId="0" borderId="0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5" fontId="21" fillId="0" borderId="1" xfId="0" applyNumberFormat="1" applyFont="1" applyBorder="1" applyAlignment="1">
      <alignment horizontal="center" vertical="center" wrapText="1"/>
    </xf>
    <xf numFmtId="5" fontId="21" fillId="0" borderId="2" xfId="0" applyNumberFormat="1" applyFont="1" applyBorder="1" applyAlignment="1">
      <alignment horizontal="center" vertical="center" wrapText="1"/>
    </xf>
    <xf numFmtId="5" fontId="21" fillId="0" borderId="5" xfId="0" applyNumberFormat="1" applyFont="1" applyBorder="1" applyAlignment="1">
      <alignment horizontal="center" vertical="center" wrapText="1"/>
    </xf>
    <xf numFmtId="5" fontId="21" fillId="0" borderId="6" xfId="0" applyNumberFormat="1" applyFont="1" applyBorder="1" applyAlignment="1">
      <alignment horizontal="center" vertical="center" wrapText="1"/>
    </xf>
    <xf numFmtId="5" fontId="2" fillId="0" borderId="1" xfId="0" applyNumberFormat="1" applyFont="1" applyBorder="1" applyAlignment="1">
      <alignment horizontal="center" vertical="center" wrapText="1"/>
    </xf>
    <xf numFmtId="5" fontId="2" fillId="0" borderId="3" xfId="0" applyNumberFormat="1" applyFont="1" applyBorder="1" applyAlignment="1">
      <alignment horizontal="center" vertical="center" wrapText="1"/>
    </xf>
    <xf numFmtId="5" fontId="2" fillId="0" borderId="5" xfId="0" applyNumberFormat="1" applyFont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8" fillId="0" borderId="4" xfId="4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8" fontId="14" fillId="3" borderId="2" xfId="2" applyNumberFormat="1" applyFont="1" applyFill="1" applyBorder="1" applyAlignment="1">
      <alignment horizontal="center" vertical="center"/>
    </xf>
    <xf numFmtId="168" fontId="14" fillId="3" borderId="6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" fontId="0" fillId="0" borderId="7" xfId="0" applyNumberFormat="1" applyBorder="1" applyAlignment="1">
      <alignment horizontal="left"/>
    </xf>
    <xf numFmtId="185" fontId="2" fillId="0" borderId="2" xfId="0" applyNumberFormat="1" applyFont="1" applyBorder="1" applyAlignment="1">
      <alignment horizontal="center" vertical="center" wrapText="1"/>
    </xf>
    <xf numFmtId="185" fontId="2" fillId="0" borderId="4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37" fillId="0" borderId="3" xfId="0" applyFont="1" applyBorder="1" applyAlignment="1">
      <alignment horizontal="center" vertical="center" wrapText="1"/>
    </xf>
    <xf numFmtId="211" fontId="0" fillId="0" borderId="0" xfId="0" applyNumberFormat="1" applyBorder="1" applyAlignment="1">
      <alignment horizontal="center" vertical="center"/>
    </xf>
    <xf numFmtId="211" fontId="0" fillId="0" borderId="4" xfId="0" applyNumberFormat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211" fontId="1" fillId="0" borderId="4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24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184" fontId="0" fillId="4" borderId="0" xfId="0" applyNumberFormat="1" applyFill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4" fontId="0" fillId="0" borderId="4" xfId="0" applyNumberFormat="1" applyFont="1" applyBorder="1" applyAlignment="1">
      <alignment horizontal="center"/>
    </xf>
    <xf numFmtId="184" fontId="0" fillId="4" borderId="4" xfId="0" applyNumberFormat="1" applyFill="1" applyBorder="1" applyAlignment="1" applyProtection="1">
      <alignment horizontal="center"/>
      <protection locked="0"/>
    </xf>
    <xf numFmtId="217" fontId="0" fillId="0" borderId="8" xfId="0" applyNumberFormat="1" applyBorder="1" applyAlignment="1">
      <alignment horizontal="center"/>
    </xf>
    <xf numFmtId="217" fontId="0" fillId="0" borderId="6" xfId="0" applyNumberForma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3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3" fillId="0" borderId="0" xfId="0" applyFont="1" applyAlignment="1">
      <alignment horizontal="center" vertical="center"/>
    </xf>
    <xf numFmtId="168" fontId="0" fillId="0" borderId="5" xfId="2" applyNumberFormat="1" applyFont="1" applyBorder="1" applyAlignment="1">
      <alignment horizontal="center" vertical="center"/>
    </xf>
    <xf numFmtId="168" fontId="0" fillId="0" borderId="8" xfId="2" applyNumberFormat="1" applyFont="1" applyBorder="1" applyAlignment="1">
      <alignment horizontal="center" vertical="center"/>
    </xf>
    <xf numFmtId="168" fontId="0" fillId="0" borderId="6" xfId="2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1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4" fontId="0" fillId="0" borderId="14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168" fontId="0" fillId="0" borderId="5" xfId="2" applyNumberFormat="1" applyFont="1" applyBorder="1" applyAlignment="1">
      <alignment horizontal="center" vertical="center" wrapText="1"/>
    </xf>
    <xf numFmtId="168" fontId="0" fillId="0" borderId="8" xfId="2" applyNumberFormat="1" applyFont="1" applyBorder="1" applyAlignment="1">
      <alignment horizontal="center" vertical="center" wrapText="1"/>
    </xf>
    <xf numFmtId="168" fontId="0" fillId="0" borderId="6" xfId="2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4" fontId="0" fillId="0" borderId="14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5" xfId="0" applyNumberFormat="1" applyBorder="1" applyAlignment="1">
      <alignment horizontal="center" vertical="center"/>
    </xf>
    <xf numFmtId="194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11" fontId="0" fillId="0" borderId="1" xfId="0" applyNumberFormat="1" applyBorder="1" applyAlignment="1">
      <alignment horizontal="center"/>
    </xf>
    <xf numFmtId="211" fontId="0" fillId="0" borderId="7" xfId="0" applyNumberFormat="1" applyBorder="1" applyAlignment="1">
      <alignment horizontal="center"/>
    </xf>
    <xf numFmtId="211" fontId="0" fillId="0" borderId="2" xfId="0" applyNumberFormat="1" applyBorder="1" applyAlignment="1">
      <alignment horizontal="center"/>
    </xf>
    <xf numFmtId="211" fontId="0" fillId="0" borderId="5" xfId="0" applyNumberFormat="1" applyBorder="1" applyAlignment="1">
      <alignment horizontal="center"/>
    </xf>
    <xf numFmtId="211" fontId="0" fillId="0" borderId="8" xfId="0" applyNumberFormat="1" applyBorder="1" applyAlignment="1">
      <alignment horizontal="center"/>
    </xf>
    <xf numFmtId="211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120" zoomScaleNormal="120" workbookViewId="0">
      <selection activeCell="L23" sqref="L23"/>
    </sheetView>
  </sheetViews>
  <sheetFormatPr baseColWidth="10" defaultRowHeight="15" x14ac:dyDescent="0.25"/>
  <cols>
    <col min="1" max="1" width="33.85546875" customWidth="1"/>
    <col min="2" max="2" width="13" customWidth="1"/>
    <col min="3" max="3" width="1.42578125" customWidth="1"/>
    <col min="4" max="4" width="6.7109375" customWidth="1"/>
    <col min="5" max="5" width="7" customWidth="1"/>
    <col min="6" max="6" width="13.28515625" bestFit="1" customWidth="1"/>
    <col min="7" max="7" width="16.7109375" customWidth="1"/>
    <col min="8" max="8" width="7" customWidth="1"/>
    <col min="9" max="9" width="5.140625" customWidth="1"/>
    <col min="10" max="10" width="12.7109375" customWidth="1"/>
    <col min="11" max="11" width="13.28515625" customWidth="1"/>
    <col min="12" max="12" width="12" customWidth="1"/>
    <col min="13" max="13" width="10.5703125" customWidth="1"/>
    <col min="14" max="14" width="10.28515625" customWidth="1"/>
    <col min="15" max="15" width="12.42578125" customWidth="1"/>
    <col min="16" max="16" width="4.28515625" customWidth="1"/>
  </cols>
  <sheetData>
    <row r="1" spans="1:15" x14ac:dyDescent="0.25">
      <c r="A1" s="358" t="s">
        <v>268</v>
      </c>
      <c r="B1" s="358"/>
      <c r="C1" s="358"/>
      <c r="D1" s="358"/>
      <c r="E1" s="358"/>
      <c r="F1" s="358"/>
      <c r="G1" s="358"/>
      <c r="I1" s="322"/>
      <c r="J1" s="358" t="s">
        <v>270</v>
      </c>
      <c r="K1" s="358"/>
      <c r="L1" s="358"/>
      <c r="M1" s="358"/>
      <c r="N1" s="358"/>
      <c r="O1" s="358"/>
    </row>
    <row r="2" spans="1:15" x14ac:dyDescent="0.25">
      <c r="J2" s="359" t="s">
        <v>342</v>
      </c>
      <c r="K2" s="359"/>
      <c r="L2" s="359"/>
      <c r="M2" s="359" t="s">
        <v>343</v>
      </c>
      <c r="N2" s="359"/>
      <c r="O2" s="359"/>
    </row>
    <row r="3" spans="1:15" x14ac:dyDescent="0.25">
      <c r="A3" s="237" t="s">
        <v>330</v>
      </c>
      <c r="J3" s="371" t="s">
        <v>344</v>
      </c>
      <c r="K3" s="372"/>
      <c r="L3" s="373"/>
      <c r="M3" s="371" t="s">
        <v>345</v>
      </c>
      <c r="N3" s="372"/>
      <c r="O3" s="373"/>
    </row>
    <row r="4" spans="1:15" x14ac:dyDescent="0.25">
      <c r="A4" s="150" t="s">
        <v>39</v>
      </c>
      <c r="B4" s="303">
        <v>3</v>
      </c>
      <c r="H4" s="374" t="s">
        <v>263</v>
      </c>
      <c r="I4" s="375"/>
      <c r="J4" s="323">
        <v>1</v>
      </c>
      <c r="K4" s="324">
        <v>2.3330000000000002</v>
      </c>
      <c r="L4" s="9"/>
      <c r="M4" s="380">
        <v>1</v>
      </c>
      <c r="N4" s="381"/>
      <c r="O4" s="382"/>
    </row>
    <row r="5" spans="1:15" x14ac:dyDescent="0.25">
      <c r="A5" s="150" t="s">
        <v>200</v>
      </c>
      <c r="B5" s="303">
        <v>4</v>
      </c>
      <c r="H5" s="376"/>
      <c r="I5" s="377"/>
      <c r="J5" s="325">
        <v>50</v>
      </c>
      <c r="K5" s="326">
        <v>10</v>
      </c>
      <c r="L5" s="10"/>
      <c r="M5" s="327">
        <v>3</v>
      </c>
      <c r="N5" s="328">
        <v>7</v>
      </c>
      <c r="O5" s="10"/>
    </row>
    <row r="6" spans="1:15" x14ac:dyDescent="0.25">
      <c r="A6" s="150" t="s">
        <v>40</v>
      </c>
      <c r="B6" s="303">
        <v>2</v>
      </c>
      <c r="H6" s="378"/>
      <c r="I6" s="379"/>
      <c r="J6" s="329">
        <f>J5*J4</f>
        <v>50</v>
      </c>
      <c r="K6" s="330">
        <f>K5*K4</f>
        <v>23.330000000000002</v>
      </c>
      <c r="L6" s="331">
        <f>SUM(J6:K6)</f>
        <v>73.33</v>
      </c>
      <c r="M6" s="329">
        <f>M5*J5</f>
        <v>150</v>
      </c>
      <c r="N6" s="330">
        <f>N5*K5</f>
        <v>70</v>
      </c>
      <c r="O6" s="332">
        <f>SUM(M6:N6)</f>
        <v>220</v>
      </c>
    </row>
    <row r="7" spans="1:15" x14ac:dyDescent="0.25">
      <c r="A7" s="150" t="s">
        <v>216</v>
      </c>
      <c r="B7" s="303">
        <v>1</v>
      </c>
      <c r="H7" s="374" t="s">
        <v>264</v>
      </c>
      <c r="I7" s="375"/>
      <c r="J7" s="383">
        <v>30</v>
      </c>
      <c r="K7" s="384"/>
      <c r="L7" s="9"/>
      <c r="M7" s="380">
        <f>10</f>
        <v>10</v>
      </c>
      <c r="N7" s="381"/>
      <c r="O7" s="382"/>
    </row>
    <row r="8" spans="1:15" x14ac:dyDescent="0.25">
      <c r="H8" s="376"/>
      <c r="I8" s="377"/>
      <c r="J8" s="333" t="s">
        <v>265</v>
      </c>
      <c r="K8" s="334" t="s">
        <v>266</v>
      </c>
      <c r="L8" s="10"/>
      <c r="M8" s="333" t="s">
        <v>265</v>
      </c>
      <c r="N8" s="334" t="s">
        <v>266</v>
      </c>
      <c r="O8" s="10"/>
    </row>
    <row r="9" spans="1:15" x14ac:dyDescent="0.25">
      <c r="H9" s="376"/>
      <c r="I9" s="377"/>
      <c r="J9" s="356">
        <f>J5</f>
        <v>50</v>
      </c>
      <c r="K9" s="357">
        <f>K5</f>
        <v>10</v>
      </c>
      <c r="L9" s="10"/>
      <c r="M9" s="335">
        <f>M7*M5</f>
        <v>30</v>
      </c>
      <c r="N9" s="336">
        <f>M7*N5</f>
        <v>70</v>
      </c>
      <c r="O9" s="10"/>
    </row>
    <row r="10" spans="1:15" x14ac:dyDescent="0.25">
      <c r="H10" s="376"/>
      <c r="I10" s="377"/>
      <c r="J10" s="335">
        <f>J4*J7</f>
        <v>30</v>
      </c>
      <c r="K10" s="336">
        <f>J7*K4</f>
        <v>69.990000000000009</v>
      </c>
      <c r="L10" s="10"/>
      <c r="M10" s="337">
        <f>M9*J5</f>
        <v>1500</v>
      </c>
      <c r="N10" s="338">
        <f>N9*K5</f>
        <v>700</v>
      </c>
      <c r="O10" s="339">
        <f>SUM(M10:N10)</f>
        <v>2200</v>
      </c>
    </row>
    <row r="11" spans="1:15" x14ac:dyDescent="0.25">
      <c r="H11" s="378"/>
      <c r="I11" s="379"/>
      <c r="J11" s="329">
        <f>J10*J5</f>
        <v>1500</v>
      </c>
      <c r="K11" s="330">
        <f>K10*K5</f>
        <v>699.90000000000009</v>
      </c>
      <c r="L11" s="340">
        <f>SUM(J11:K11)</f>
        <v>2199.9</v>
      </c>
      <c r="M11" s="341"/>
      <c r="N11">
        <f>L21/M12</f>
        <v>164.38356164383561</v>
      </c>
      <c r="O11" s="342">
        <v>164.38356164383561</v>
      </c>
    </row>
    <row r="12" spans="1:15" x14ac:dyDescent="0.25">
      <c r="H12" s="360" t="s">
        <v>267</v>
      </c>
      <c r="I12" s="361"/>
      <c r="J12" s="366">
        <f>J7*365</f>
        <v>10950</v>
      </c>
      <c r="K12" s="367"/>
      <c r="L12" s="9"/>
      <c r="M12" s="368">
        <f>M7*365</f>
        <v>3650</v>
      </c>
      <c r="N12" s="369"/>
      <c r="O12" s="370"/>
    </row>
    <row r="13" spans="1:15" x14ac:dyDescent="0.25">
      <c r="A13" s="237" t="s">
        <v>193</v>
      </c>
      <c r="H13" s="362"/>
      <c r="I13" s="363"/>
      <c r="J13" s="333" t="s">
        <v>265</v>
      </c>
      <c r="K13" s="334" t="s">
        <v>266</v>
      </c>
      <c r="L13" s="10"/>
      <c r="M13" s="333" t="s">
        <v>265</v>
      </c>
      <c r="N13" s="334" t="s">
        <v>266</v>
      </c>
      <c r="O13" s="10"/>
    </row>
    <row r="14" spans="1:15" ht="15" customHeight="1" x14ac:dyDescent="0.25">
      <c r="A14" s="150" t="s">
        <v>279</v>
      </c>
      <c r="B14" s="300">
        <v>270200</v>
      </c>
      <c r="H14" s="362"/>
      <c r="I14" s="363"/>
      <c r="J14" s="335">
        <f>J10*365</f>
        <v>10950</v>
      </c>
      <c r="K14" s="336">
        <f>K10*365</f>
        <v>25546.350000000002</v>
      </c>
      <c r="L14" s="10"/>
      <c r="M14" s="335">
        <f>M12*M5</f>
        <v>10950</v>
      </c>
      <c r="N14" s="336">
        <f>M12*N5</f>
        <v>25550</v>
      </c>
      <c r="O14" s="343">
        <f>M12*O11</f>
        <v>600000</v>
      </c>
    </row>
    <row r="15" spans="1:15" ht="15" customHeight="1" x14ac:dyDescent="0.25">
      <c r="A15" s="150" t="s">
        <v>280</v>
      </c>
      <c r="B15" s="300">
        <v>540262.82799999998</v>
      </c>
      <c r="H15" s="364"/>
      <c r="I15" s="365"/>
      <c r="J15" s="329">
        <f>J14*J5</f>
        <v>547500</v>
      </c>
      <c r="K15" s="330">
        <f>K14*K5</f>
        <v>255463.50000000003</v>
      </c>
      <c r="L15" s="344">
        <f>SUM(J15:K15)</f>
        <v>802963.5</v>
      </c>
      <c r="M15" s="345">
        <f>M14*J5</f>
        <v>547500</v>
      </c>
      <c r="N15" s="346">
        <f>N14*K5</f>
        <v>255500</v>
      </c>
      <c r="O15" s="344">
        <f>SUM(M15:N15)</f>
        <v>803000</v>
      </c>
    </row>
    <row r="16" spans="1:15" ht="15" customHeight="1" x14ac:dyDescent="0.25">
      <c r="A16" s="237" t="s">
        <v>331</v>
      </c>
      <c r="B16" s="301"/>
    </row>
    <row r="17" spans="1:12" x14ac:dyDescent="0.25">
      <c r="A17" s="150" t="s">
        <v>271</v>
      </c>
      <c r="B17" s="302">
        <v>0.73</v>
      </c>
      <c r="J17" s="237" t="s">
        <v>278</v>
      </c>
    </row>
    <row r="18" spans="1:12" x14ac:dyDescent="0.25">
      <c r="A18" s="150" t="s">
        <v>322</v>
      </c>
      <c r="B18" s="302">
        <v>0.99</v>
      </c>
      <c r="J18" s="150" t="s">
        <v>227</v>
      </c>
      <c r="L18" s="226">
        <v>37500</v>
      </c>
    </row>
    <row r="19" spans="1:12" x14ac:dyDescent="0.25">
      <c r="J19" s="150" t="s">
        <v>272</v>
      </c>
      <c r="L19" s="228">
        <v>15</v>
      </c>
    </row>
    <row r="20" spans="1:12" x14ac:dyDescent="0.25">
      <c r="J20" s="150" t="s">
        <v>226</v>
      </c>
      <c r="L20" s="226">
        <v>803000</v>
      </c>
    </row>
    <row r="21" spans="1:12" x14ac:dyDescent="0.25">
      <c r="J21" s="150" t="s">
        <v>269</v>
      </c>
      <c r="L21" s="227">
        <v>600000</v>
      </c>
    </row>
  </sheetData>
  <mergeCells count="14">
    <mergeCell ref="A1:G1"/>
    <mergeCell ref="J2:L2"/>
    <mergeCell ref="M2:O2"/>
    <mergeCell ref="J1:O1"/>
    <mergeCell ref="H12:I15"/>
    <mergeCell ref="J12:K12"/>
    <mergeCell ref="M12:O12"/>
    <mergeCell ref="J3:L3"/>
    <mergeCell ref="M3:O3"/>
    <mergeCell ref="H4:I6"/>
    <mergeCell ref="M4:O4"/>
    <mergeCell ref="H7:I11"/>
    <mergeCell ref="J7:K7"/>
    <mergeCell ref="M7:O7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="120" zoomScaleNormal="120" workbookViewId="0">
      <selection activeCell="E5" sqref="E5"/>
    </sheetView>
  </sheetViews>
  <sheetFormatPr baseColWidth="10" defaultRowHeight="15" x14ac:dyDescent="0.25"/>
  <cols>
    <col min="1" max="1" width="3.42578125" customWidth="1"/>
    <col min="2" max="2" width="18" customWidth="1"/>
    <col min="3" max="3" width="10.5703125" bestFit="1" customWidth="1"/>
    <col min="4" max="4" width="6" bestFit="1" customWidth="1"/>
    <col min="5" max="5" width="9" customWidth="1"/>
    <col min="6" max="6" width="9.42578125" customWidth="1"/>
    <col min="7" max="7" width="8.7109375" customWidth="1"/>
    <col min="8" max="8" width="7.140625" customWidth="1"/>
  </cols>
  <sheetData>
    <row r="1" spans="1:8" x14ac:dyDescent="0.25">
      <c r="A1" s="391" t="s">
        <v>217</v>
      </c>
      <c r="B1" s="391"/>
      <c r="C1" s="391"/>
      <c r="D1" s="391"/>
      <c r="E1" s="391"/>
      <c r="F1" s="391"/>
      <c r="G1" s="391"/>
      <c r="H1" s="391"/>
    </row>
    <row r="2" spans="1:8" x14ac:dyDescent="0.25">
      <c r="A2" s="161"/>
      <c r="B2" s="1" t="s">
        <v>222</v>
      </c>
      <c r="C2" s="399" t="s">
        <v>197</v>
      </c>
      <c r="D2" s="400"/>
      <c r="E2" s="396" t="s">
        <v>202</v>
      </c>
      <c r="F2" s="397"/>
      <c r="G2" s="397"/>
      <c r="H2" s="398"/>
    </row>
    <row r="3" spans="1:8" x14ac:dyDescent="0.25">
      <c r="A3" s="121"/>
      <c r="B3" s="1" t="s">
        <v>223</v>
      </c>
      <c r="C3" s="392"/>
      <c r="D3" s="401"/>
      <c r="E3" s="392" t="s">
        <v>39</v>
      </c>
      <c r="F3" s="392" t="s">
        <v>200</v>
      </c>
      <c r="G3" s="392" t="s">
        <v>201</v>
      </c>
      <c r="H3" s="394" t="s">
        <v>216</v>
      </c>
    </row>
    <row r="4" spans="1:8" ht="15.75" x14ac:dyDescent="0.25">
      <c r="A4" s="4" t="s">
        <v>12</v>
      </c>
      <c r="B4" s="3"/>
      <c r="C4" s="299" t="s">
        <v>36</v>
      </c>
      <c r="D4" s="304" t="s">
        <v>35</v>
      </c>
      <c r="E4" s="393"/>
      <c r="F4" s="393"/>
      <c r="G4" s="393"/>
      <c r="H4" s="395"/>
    </row>
    <row r="5" spans="1:8" ht="15" customHeight="1" x14ac:dyDescent="0.25">
      <c r="A5" s="388" t="s">
        <v>21</v>
      </c>
      <c r="B5" s="18" t="s">
        <v>6</v>
      </c>
      <c r="C5" s="24">
        <v>41500</v>
      </c>
      <c r="D5" s="34">
        <f>C5/C47</f>
        <v>7.2941255046568163E-2</v>
      </c>
      <c r="E5" s="309"/>
      <c r="F5" s="122"/>
      <c r="G5" s="162"/>
      <c r="H5" s="111"/>
    </row>
    <row r="6" spans="1:8" x14ac:dyDescent="0.25">
      <c r="A6" s="389"/>
      <c r="B6" s="19" t="s">
        <v>1</v>
      </c>
      <c r="C6" s="25">
        <v>5200</v>
      </c>
      <c r="D6" s="35">
        <f>C6/C47</f>
        <v>9.1396271383651674E-3</v>
      </c>
      <c r="E6" s="111"/>
      <c r="F6" s="122"/>
      <c r="G6" s="111"/>
      <c r="H6" s="111"/>
    </row>
    <row r="7" spans="1:8" x14ac:dyDescent="0.25">
      <c r="A7" s="389"/>
      <c r="B7" s="19" t="s">
        <v>2</v>
      </c>
      <c r="C7" s="25">
        <v>12500</v>
      </c>
      <c r="D7" s="35">
        <f>C7/C47</f>
        <v>2.1970257544147036E-2</v>
      </c>
      <c r="E7" s="122"/>
      <c r="F7" s="122"/>
      <c r="G7" s="111"/>
      <c r="H7" s="111"/>
    </row>
    <row r="8" spans="1:8" x14ac:dyDescent="0.25">
      <c r="A8" s="389"/>
      <c r="B8" s="19" t="s">
        <v>0</v>
      </c>
      <c r="C8" s="25">
        <v>7700</v>
      </c>
      <c r="D8" s="35">
        <f>C8/C47</f>
        <v>1.3533678647194574E-2</v>
      </c>
      <c r="E8" s="162"/>
      <c r="F8" s="162"/>
      <c r="G8" s="162"/>
      <c r="H8" s="162"/>
    </row>
    <row r="9" spans="1:8" x14ac:dyDescent="0.25">
      <c r="A9" s="389"/>
      <c r="B9" s="19" t="s">
        <v>5</v>
      </c>
      <c r="C9" s="25">
        <v>39250</v>
      </c>
      <c r="D9" s="35">
        <f>C9/C47</f>
        <v>6.8986608688621692E-2</v>
      </c>
      <c r="E9" s="122"/>
      <c r="F9" s="162"/>
      <c r="G9" s="162"/>
      <c r="H9" s="162"/>
    </row>
    <row r="10" spans="1:8" x14ac:dyDescent="0.25">
      <c r="A10" s="389"/>
      <c r="B10" s="19" t="s">
        <v>27</v>
      </c>
      <c r="C10" s="25">
        <v>2175</v>
      </c>
      <c r="D10" s="35">
        <f>C10/C47</f>
        <v>3.8228248126815842E-3</v>
      </c>
      <c r="E10" s="162"/>
      <c r="F10" s="162"/>
      <c r="G10" s="162"/>
      <c r="H10" s="162"/>
    </row>
    <row r="11" spans="1:8" x14ac:dyDescent="0.25">
      <c r="A11" s="389"/>
      <c r="B11" s="19" t="s">
        <v>28</v>
      </c>
      <c r="C11" s="25">
        <v>1150</v>
      </c>
      <c r="D11" s="35">
        <f>C11/C47</f>
        <v>2.0212636940615271E-3</v>
      </c>
      <c r="E11" s="162"/>
      <c r="F11" s="162"/>
      <c r="G11" s="162"/>
      <c r="H11" s="162"/>
    </row>
    <row r="12" spans="1:8" x14ac:dyDescent="0.25">
      <c r="A12" s="390"/>
      <c r="B12" s="7"/>
      <c r="C12" s="30">
        <f>C5+C6+C7+C8+C9-C10-C11</f>
        <v>102825</v>
      </c>
      <c r="D12" s="36">
        <f>C12/C47</f>
        <v>0.18072733855815351</v>
      </c>
      <c r="E12" s="11"/>
      <c r="F12" s="5"/>
      <c r="G12" s="5"/>
      <c r="H12" s="6"/>
    </row>
    <row r="13" spans="1:8" ht="15" customHeight="1" x14ac:dyDescent="0.25">
      <c r="A13" s="388" t="s">
        <v>22</v>
      </c>
      <c r="B13" s="18" t="s">
        <v>68</v>
      </c>
      <c r="C13" s="24">
        <v>17000</v>
      </c>
      <c r="D13" s="34">
        <f>C13/C47</f>
        <v>2.987955026003997E-2</v>
      </c>
      <c r="E13" s="111"/>
      <c r="F13" s="122"/>
      <c r="G13" s="162"/>
      <c r="H13" s="162"/>
    </row>
    <row r="14" spans="1:8" x14ac:dyDescent="0.25">
      <c r="A14" s="389"/>
      <c r="B14" s="19" t="s">
        <v>80</v>
      </c>
      <c r="C14" s="25">
        <v>5000</v>
      </c>
      <c r="D14" s="35">
        <f>C14/C47</f>
        <v>8.7881030176588139E-3</v>
      </c>
      <c r="E14" s="122"/>
      <c r="F14" s="122"/>
      <c r="G14" s="162"/>
      <c r="H14" s="162"/>
    </row>
    <row r="15" spans="1:8" x14ac:dyDescent="0.25">
      <c r="A15" s="389"/>
      <c r="B15" s="19" t="s">
        <v>69</v>
      </c>
      <c r="C15" s="25">
        <v>1450</v>
      </c>
      <c r="D15" s="35">
        <f>C15/C47</f>
        <v>2.5485498751210561E-3</v>
      </c>
      <c r="E15" s="111"/>
      <c r="F15" s="111"/>
      <c r="G15" s="162"/>
      <c r="H15" s="111"/>
    </row>
    <row r="16" spans="1:8" x14ac:dyDescent="0.25">
      <c r="A16" s="389"/>
      <c r="B16" s="19" t="s">
        <v>26</v>
      </c>
      <c r="C16" s="25">
        <v>2780</v>
      </c>
      <c r="D16" s="35">
        <f>C16/C47</f>
        <v>4.8861852778183008E-3</v>
      </c>
      <c r="E16" s="162"/>
      <c r="F16" s="162"/>
      <c r="G16" s="162"/>
      <c r="H16" s="162"/>
    </row>
    <row r="17" spans="1:8" x14ac:dyDescent="0.25">
      <c r="A17" s="389"/>
      <c r="B17" s="19" t="s">
        <v>8</v>
      </c>
      <c r="C17" s="25">
        <v>700</v>
      </c>
      <c r="D17" s="35">
        <f>C17/C47</f>
        <v>1.2303344224722341E-3</v>
      </c>
      <c r="E17" s="162"/>
      <c r="F17" s="162"/>
      <c r="G17" s="162"/>
      <c r="H17" s="162"/>
    </row>
    <row r="18" spans="1:8" x14ac:dyDescent="0.25">
      <c r="A18" s="389"/>
      <c r="B18" s="19" t="s">
        <v>14</v>
      </c>
      <c r="C18" s="25">
        <v>2820</v>
      </c>
      <c r="D18" s="35">
        <f>C18/C47</f>
        <v>4.956490101959571E-3</v>
      </c>
      <c r="E18" s="162"/>
      <c r="F18" s="162"/>
      <c r="G18" s="162"/>
      <c r="H18" s="162"/>
    </row>
    <row r="19" spans="1:8" x14ac:dyDescent="0.25">
      <c r="A19" s="389"/>
      <c r="B19" s="19" t="s">
        <v>10</v>
      </c>
      <c r="C19" s="25">
        <v>4850</v>
      </c>
      <c r="D19" s="35">
        <f>C19/C47</f>
        <v>8.5244599271290505E-3</v>
      </c>
      <c r="E19" s="111"/>
      <c r="F19" s="162"/>
      <c r="G19" s="162"/>
      <c r="H19" s="162"/>
    </row>
    <row r="20" spans="1:8" x14ac:dyDescent="0.25">
      <c r="A20" s="389"/>
      <c r="B20" s="19" t="s">
        <v>70</v>
      </c>
      <c r="C20" s="25">
        <v>10000</v>
      </c>
      <c r="D20" s="35">
        <f>C20/C47</f>
        <v>1.7576206035317628E-2</v>
      </c>
      <c r="E20" s="111"/>
      <c r="F20" s="111"/>
      <c r="G20" s="111"/>
      <c r="H20" s="162"/>
    </row>
    <row r="21" spans="1:8" x14ac:dyDescent="0.25">
      <c r="A21" s="389"/>
      <c r="B21" s="19" t="s">
        <v>71</v>
      </c>
      <c r="C21" s="25">
        <v>6100</v>
      </c>
      <c r="D21" s="35">
        <f>C21/C47</f>
        <v>1.0721485681543753E-2</v>
      </c>
      <c r="E21" s="122"/>
      <c r="F21" s="122"/>
      <c r="G21" s="162"/>
      <c r="H21" s="162"/>
    </row>
    <row r="22" spans="1:8" x14ac:dyDescent="0.25">
      <c r="A22" s="389"/>
      <c r="B22" s="19" t="s">
        <v>23</v>
      </c>
      <c r="C22" s="25">
        <v>4910</v>
      </c>
      <c r="D22" s="35">
        <f>C22/C47</f>
        <v>8.6299171633409562E-3</v>
      </c>
      <c r="E22" s="162"/>
      <c r="F22" s="162"/>
      <c r="G22" s="162"/>
      <c r="H22" s="162"/>
    </row>
    <row r="23" spans="1:8" x14ac:dyDescent="0.25">
      <c r="A23" s="389"/>
      <c r="B23" s="19" t="s">
        <v>29</v>
      </c>
      <c r="C23" s="25">
        <v>2625</v>
      </c>
      <c r="D23" s="35">
        <f>C23/C47</f>
        <v>4.613754084270877E-3</v>
      </c>
      <c r="E23" s="162"/>
      <c r="F23" s="162"/>
      <c r="G23" s="162"/>
      <c r="H23" s="162"/>
    </row>
    <row r="24" spans="1:8" x14ac:dyDescent="0.25">
      <c r="A24" s="389"/>
      <c r="B24" s="19" t="s">
        <v>33</v>
      </c>
      <c r="C24" s="25">
        <v>1</v>
      </c>
      <c r="D24" s="35">
        <f>C24/C47</f>
        <v>1.7576206035317628E-6</v>
      </c>
      <c r="E24" s="111"/>
      <c r="F24" s="111"/>
      <c r="G24" s="111"/>
      <c r="H24" s="111"/>
    </row>
    <row r="25" spans="1:8" x14ac:dyDescent="0.25">
      <c r="A25" s="390"/>
      <c r="B25" s="7"/>
      <c r="C25" s="30">
        <f>SUM(C13:C24)</f>
        <v>58236</v>
      </c>
      <c r="D25" s="36">
        <f>C25/C47</f>
        <v>0.10235679346727575</v>
      </c>
      <c r="E25" s="11"/>
      <c r="F25" s="5"/>
      <c r="G25" s="5"/>
      <c r="H25" s="6"/>
    </row>
    <row r="26" spans="1:8" ht="15" customHeight="1" x14ac:dyDescent="0.25">
      <c r="A26" s="385" t="s">
        <v>30</v>
      </c>
      <c r="B26" s="18" t="s">
        <v>72</v>
      </c>
      <c r="C26" s="24">
        <v>3500</v>
      </c>
      <c r="D26" s="34">
        <f>C26/C47</f>
        <v>6.1516721123611702E-3</v>
      </c>
      <c r="E26" s="162"/>
      <c r="F26" s="111"/>
      <c r="G26" s="162"/>
      <c r="H26" s="162"/>
    </row>
    <row r="27" spans="1:8" x14ac:dyDescent="0.25">
      <c r="A27" s="386"/>
      <c r="B27" s="19" t="s">
        <v>31</v>
      </c>
      <c r="C27" s="25">
        <v>2600</v>
      </c>
      <c r="D27" s="35">
        <f>C27/C47</f>
        <v>4.5698135691825837E-3</v>
      </c>
      <c r="E27" s="162"/>
      <c r="F27" s="122"/>
      <c r="G27" s="111"/>
      <c r="H27" s="162"/>
    </row>
    <row r="28" spans="1:8" x14ac:dyDescent="0.25">
      <c r="A28" s="386"/>
      <c r="B28" s="19" t="s">
        <v>32</v>
      </c>
      <c r="C28" s="25">
        <v>3650</v>
      </c>
      <c r="D28" s="35">
        <f>C28/C47</f>
        <v>6.4153152028909345E-3</v>
      </c>
      <c r="E28" s="111"/>
      <c r="F28" s="122"/>
      <c r="G28" s="162"/>
      <c r="H28" s="111"/>
    </row>
    <row r="29" spans="1:8" x14ac:dyDescent="0.25">
      <c r="A29" s="386"/>
      <c r="B29" s="19" t="s">
        <v>73</v>
      </c>
      <c r="C29" s="25">
        <v>1800</v>
      </c>
      <c r="D29" s="35">
        <f>C29/C47</f>
        <v>3.1637170863571731E-3</v>
      </c>
      <c r="E29" s="111"/>
      <c r="F29" s="122"/>
      <c r="G29" s="111"/>
      <c r="H29" s="162"/>
    </row>
    <row r="30" spans="1:8" x14ac:dyDescent="0.25">
      <c r="A30" s="387"/>
      <c r="B30" s="7"/>
      <c r="C30" s="30">
        <f>SUM(C26:C29)</f>
        <v>11550</v>
      </c>
      <c r="D30" s="36">
        <f>C30/C47</f>
        <v>2.0300517970791861E-2</v>
      </c>
      <c r="E30" s="11"/>
      <c r="F30" s="5"/>
      <c r="G30" s="5"/>
      <c r="H30" s="6"/>
    </row>
    <row r="31" spans="1:8" ht="15" customHeight="1" x14ac:dyDescent="0.25">
      <c r="A31" s="388" t="s">
        <v>24</v>
      </c>
      <c r="B31" s="18" t="s">
        <v>3</v>
      </c>
      <c r="C31" s="24">
        <v>234720</v>
      </c>
      <c r="D31" s="34">
        <f>C31/C47</f>
        <v>0.41254870806097538</v>
      </c>
      <c r="E31" s="122"/>
      <c r="F31" s="122"/>
      <c r="G31" s="162"/>
      <c r="H31" s="162"/>
    </row>
    <row r="32" spans="1:8" x14ac:dyDescent="0.25">
      <c r="A32" s="389"/>
      <c r="B32" s="19" t="s">
        <v>4</v>
      </c>
      <c r="C32" s="25">
        <v>98480</v>
      </c>
      <c r="D32" s="35">
        <f>C32/C47</f>
        <v>0.17309047703580802</v>
      </c>
      <c r="E32" s="122"/>
      <c r="F32" s="122"/>
      <c r="G32" s="162"/>
      <c r="H32" s="162"/>
    </row>
    <row r="33" spans="1:8" x14ac:dyDescent="0.25">
      <c r="A33" s="389"/>
      <c r="B33" s="19" t="s">
        <v>9</v>
      </c>
      <c r="C33" s="25">
        <v>16100</v>
      </c>
      <c r="D33" s="35">
        <f>C33/C47</f>
        <v>2.8297691716861383E-2</v>
      </c>
      <c r="E33" s="122"/>
      <c r="F33" s="122"/>
      <c r="G33" s="162"/>
      <c r="H33" s="162"/>
    </row>
    <row r="34" spans="1:8" x14ac:dyDescent="0.25">
      <c r="A34" s="389"/>
      <c r="B34" s="19" t="s">
        <v>11</v>
      </c>
      <c r="C34" s="25">
        <v>7000</v>
      </c>
      <c r="D34" s="35">
        <f>C34/C47</f>
        <v>1.230334422472234E-2</v>
      </c>
      <c r="E34" s="122"/>
      <c r="F34" s="122"/>
      <c r="G34" s="162"/>
      <c r="H34" s="162"/>
    </row>
    <row r="35" spans="1:8" x14ac:dyDescent="0.25">
      <c r="A35" s="389"/>
      <c r="B35" s="19" t="s">
        <v>13</v>
      </c>
      <c r="C35" s="25">
        <v>7000</v>
      </c>
      <c r="D35" s="35">
        <f>C35/C47</f>
        <v>1.230334422472234E-2</v>
      </c>
      <c r="E35" s="122"/>
      <c r="F35" s="122"/>
      <c r="G35" s="117"/>
      <c r="H35" s="117"/>
    </row>
    <row r="36" spans="1:8" x14ac:dyDescent="0.25">
      <c r="A36" s="389"/>
      <c r="B36" s="19" t="s">
        <v>16</v>
      </c>
      <c r="C36" s="25">
        <v>3000</v>
      </c>
      <c r="D36" s="35">
        <f>C36/C47</f>
        <v>5.2728618105952882E-3</v>
      </c>
      <c r="E36" s="122"/>
      <c r="F36" s="122"/>
      <c r="G36" s="162"/>
      <c r="H36" s="162"/>
    </row>
    <row r="37" spans="1:8" x14ac:dyDescent="0.25">
      <c r="A37" s="389"/>
      <c r="B37" s="19" t="s">
        <v>25</v>
      </c>
      <c r="C37" s="25">
        <v>7400</v>
      </c>
      <c r="D37" s="35">
        <f>C37/C47</f>
        <v>1.3006392466135046E-2</v>
      </c>
      <c r="E37" s="122"/>
      <c r="F37" s="122"/>
      <c r="G37" s="162"/>
      <c r="H37" s="162"/>
    </row>
    <row r="38" spans="1:8" x14ac:dyDescent="0.25">
      <c r="A38" s="390"/>
      <c r="B38" s="7"/>
      <c r="C38" s="30">
        <f>SUM(C31:C37)</f>
        <v>373700</v>
      </c>
      <c r="D38" s="36">
        <f>C38/C47</f>
        <v>0.6568228195398198</v>
      </c>
      <c r="E38" s="11"/>
      <c r="F38" s="5"/>
      <c r="G38" s="5"/>
      <c r="H38" s="6"/>
    </row>
    <row r="39" spans="1:8" ht="15" customHeight="1" x14ac:dyDescent="0.25">
      <c r="A39" s="385" t="s">
        <v>47</v>
      </c>
      <c r="B39" s="18" t="s">
        <v>74</v>
      </c>
      <c r="C39" s="24">
        <v>13140</v>
      </c>
      <c r="D39" s="34">
        <f>C39/C47</f>
        <v>2.3095134730407363E-2</v>
      </c>
      <c r="E39" s="117"/>
      <c r="F39" s="122"/>
      <c r="G39" s="162"/>
      <c r="H39" s="162"/>
    </row>
    <row r="40" spans="1:8" x14ac:dyDescent="0.25">
      <c r="A40" s="386"/>
      <c r="B40" s="19" t="s">
        <v>18</v>
      </c>
      <c r="C40" s="25">
        <v>3200</v>
      </c>
      <c r="D40" s="35">
        <f>C40/C47</f>
        <v>5.6243859313016408E-3</v>
      </c>
      <c r="E40" s="162"/>
      <c r="F40" s="122"/>
      <c r="G40" s="162"/>
      <c r="H40" s="162"/>
    </row>
    <row r="41" spans="1:8" x14ac:dyDescent="0.25">
      <c r="A41" s="386"/>
      <c r="B41" s="19" t="s">
        <v>7</v>
      </c>
      <c r="C41" s="25">
        <v>500</v>
      </c>
      <c r="D41" s="35">
        <f>C41/C47</f>
        <v>8.7881030176588143E-4</v>
      </c>
      <c r="E41" s="162"/>
      <c r="F41" s="122"/>
      <c r="G41" s="111"/>
      <c r="H41" s="111"/>
    </row>
    <row r="42" spans="1:8" x14ac:dyDescent="0.25">
      <c r="A42" s="386"/>
      <c r="B42" s="19" t="s">
        <v>75</v>
      </c>
      <c r="C42" s="25">
        <v>300</v>
      </c>
      <c r="D42" s="35">
        <f>C42/C47</f>
        <v>5.2728618105952888E-4</v>
      </c>
      <c r="E42" s="162"/>
      <c r="F42" s="122"/>
      <c r="G42" s="162"/>
      <c r="H42" s="111"/>
    </row>
    <row r="43" spans="1:8" x14ac:dyDescent="0.25">
      <c r="A43" s="386"/>
      <c r="B43" s="19" t="s">
        <v>19</v>
      </c>
      <c r="C43" s="25">
        <v>1800</v>
      </c>
      <c r="D43" s="35">
        <f>C43/C47</f>
        <v>3.1637170863571731E-3</v>
      </c>
      <c r="E43" s="162"/>
      <c r="F43" s="122"/>
      <c r="G43" s="162"/>
      <c r="H43" s="111"/>
    </row>
    <row r="44" spans="1:8" x14ac:dyDescent="0.25">
      <c r="A44" s="386"/>
      <c r="B44" s="19" t="s">
        <v>20</v>
      </c>
      <c r="C44" s="25">
        <v>3500</v>
      </c>
      <c r="D44" s="35">
        <f>C44/C47</f>
        <v>6.1516721123611702E-3</v>
      </c>
      <c r="E44" s="122"/>
      <c r="F44" s="122"/>
      <c r="G44" s="111"/>
      <c r="H44" s="111"/>
    </row>
    <row r="45" spans="1:8" x14ac:dyDescent="0.25">
      <c r="A45" s="386"/>
      <c r="B45" s="19" t="s">
        <v>17</v>
      </c>
      <c r="C45" s="25">
        <v>200</v>
      </c>
      <c r="D45" s="35">
        <f>C45/C47</f>
        <v>3.5152412070635255E-4</v>
      </c>
      <c r="E45" s="162"/>
      <c r="F45" s="122"/>
      <c r="G45" s="162"/>
      <c r="H45" s="162"/>
    </row>
    <row r="46" spans="1:8" x14ac:dyDescent="0.25">
      <c r="A46" s="387"/>
      <c r="B46" s="7"/>
      <c r="C46" s="30">
        <f>SUM(C39:C45)</f>
        <v>22640</v>
      </c>
      <c r="D46" s="36">
        <f>C46/C47</f>
        <v>3.9792530463959114E-2</v>
      </c>
      <c r="E46" s="11"/>
      <c r="F46" s="5"/>
      <c r="G46" s="5"/>
      <c r="H46" s="6"/>
    </row>
    <row r="47" spans="1:8" x14ac:dyDescent="0.25">
      <c r="A47" s="13" t="s">
        <v>198</v>
      </c>
      <c r="C47" s="33">
        <f>C46+C38+C30+C25+C12</f>
        <v>568951</v>
      </c>
      <c r="D47" s="106">
        <f>C47/C47</f>
        <v>1</v>
      </c>
      <c r="E47" s="11"/>
      <c r="F47" s="5"/>
      <c r="G47" s="5"/>
      <c r="H47" s="6"/>
    </row>
    <row r="48" spans="1:8" ht="15" customHeight="1" x14ac:dyDescent="0.25">
      <c r="A48" s="388" t="s">
        <v>76</v>
      </c>
      <c r="B48" s="9" t="s">
        <v>78</v>
      </c>
      <c r="C48" s="24">
        <v>0</v>
      </c>
      <c r="D48" s="37"/>
      <c r="E48" s="122"/>
      <c r="F48" s="122"/>
      <c r="G48" s="162"/>
      <c r="H48" s="162"/>
    </row>
    <row r="49" spans="1:8" x14ac:dyDescent="0.25">
      <c r="A49" s="389"/>
      <c r="B49" s="10" t="s">
        <v>15</v>
      </c>
      <c r="C49" s="25">
        <v>0</v>
      </c>
      <c r="D49" s="38"/>
      <c r="E49" s="122"/>
      <c r="F49" s="162"/>
      <c r="G49" s="162"/>
      <c r="H49" s="111"/>
    </row>
    <row r="50" spans="1:8" x14ac:dyDescent="0.25">
      <c r="A50" s="389"/>
      <c r="B50" s="21" t="s">
        <v>81</v>
      </c>
      <c r="C50" s="25">
        <v>0</v>
      </c>
      <c r="D50" s="38"/>
      <c r="E50" s="162"/>
      <c r="F50" s="162"/>
      <c r="G50" s="111"/>
      <c r="H50" s="111"/>
    </row>
    <row r="51" spans="1:8" x14ac:dyDescent="0.25">
      <c r="A51" s="389"/>
      <c r="B51" s="10" t="s">
        <v>82</v>
      </c>
      <c r="C51" s="25">
        <v>8200</v>
      </c>
      <c r="D51" s="39"/>
      <c r="E51" s="111"/>
      <c r="F51" s="111"/>
      <c r="G51" s="111"/>
      <c r="H51" s="111"/>
    </row>
    <row r="52" spans="1:8" x14ac:dyDescent="0.25">
      <c r="A52" s="389"/>
      <c r="B52" s="10" t="s">
        <v>77</v>
      </c>
      <c r="C52" s="25">
        <v>400</v>
      </c>
      <c r="D52" s="39"/>
      <c r="E52" s="111"/>
      <c r="F52" s="111"/>
      <c r="G52" s="111"/>
      <c r="H52" s="111"/>
    </row>
    <row r="53" spans="1:8" x14ac:dyDescent="0.25">
      <c r="A53" s="389"/>
      <c r="B53" s="10" t="s">
        <v>48</v>
      </c>
      <c r="C53" s="25">
        <v>1500</v>
      </c>
      <c r="D53" s="39"/>
      <c r="E53" s="111"/>
      <c r="F53" s="111"/>
      <c r="G53" s="111"/>
      <c r="H53" s="111"/>
    </row>
    <row r="54" spans="1:8" x14ac:dyDescent="0.25">
      <c r="A54" s="390"/>
      <c r="B54" s="8"/>
      <c r="C54" s="30">
        <f>SUM(C48:C53)</f>
        <v>10100</v>
      </c>
      <c r="D54" s="40"/>
      <c r="E54" s="111"/>
      <c r="F54" s="111"/>
      <c r="G54" s="111"/>
      <c r="H54" s="111"/>
    </row>
    <row r="59" spans="1:8" x14ac:dyDescent="0.25">
      <c r="C59" s="305"/>
    </row>
  </sheetData>
  <mergeCells count="13">
    <mergeCell ref="A39:A46"/>
    <mergeCell ref="A48:A54"/>
    <mergeCell ref="A1:H1"/>
    <mergeCell ref="E3:E4"/>
    <mergeCell ref="F3:F4"/>
    <mergeCell ref="G3:G4"/>
    <mergeCell ref="H3:H4"/>
    <mergeCell ref="E2:H2"/>
    <mergeCell ref="C2:D3"/>
    <mergeCell ref="A5:A12"/>
    <mergeCell ref="A13:A25"/>
    <mergeCell ref="A26:A30"/>
    <mergeCell ref="A31:A38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27" zoomScaleNormal="100" workbookViewId="0">
      <selection activeCell="D32" sqref="D32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8.140625" customWidth="1"/>
    <col min="4" max="4" width="9.5703125" customWidth="1"/>
    <col min="5" max="5" width="8.28515625" customWidth="1"/>
    <col min="6" max="6" width="8.42578125" bestFit="1" customWidth="1"/>
    <col min="7" max="7" width="9" customWidth="1"/>
    <col min="8" max="8" width="8.42578125" customWidth="1"/>
    <col min="9" max="9" width="8.7109375" customWidth="1"/>
    <col min="10" max="10" width="8" customWidth="1"/>
    <col min="11" max="11" width="8.7109375" customWidth="1"/>
    <col min="12" max="12" width="4.42578125" customWidth="1"/>
    <col min="13" max="13" width="1.42578125" customWidth="1"/>
    <col min="14" max="14" width="8.85546875" customWidth="1"/>
    <col min="15" max="15" width="7.5703125" customWidth="1"/>
    <col min="16" max="16" width="19.85546875" customWidth="1"/>
    <col min="17" max="17" width="4.28515625" customWidth="1"/>
  </cols>
  <sheetData>
    <row r="1" spans="1:16" x14ac:dyDescent="0.25">
      <c r="A1" s="13" t="s">
        <v>199</v>
      </c>
    </row>
    <row r="2" spans="1:16" x14ac:dyDescent="0.25">
      <c r="C2" s="472" t="s">
        <v>260</v>
      </c>
      <c r="D2" s="473"/>
      <c r="E2" s="473"/>
      <c r="F2" s="474"/>
      <c r="G2" s="475" t="s">
        <v>261</v>
      </c>
      <c r="H2" s="476"/>
      <c r="I2" s="476"/>
      <c r="J2" s="476"/>
      <c r="K2" s="476"/>
      <c r="L2" s="477"/>
      <c r="N2" s="463" t="s">
        <v>204</v>
      </c>
      <c r="O2" s="464"/>
      <c r="P2" s="465"/>
    </row>
    <row r="3" spans="1:16" ht="15" customHeight="1" x14ac:dyDescent="0.25">
      <c r="C3" s="461" t="s">
        <v>39</v>
      </c>
      <c r="D3" s="462"/>
      <c r="E3" s="14" t="s">
        <v>38</v>
      </c>
      <c r="F3" s="12"/>
      <c r="G3" s="461" t="s">
        <v>40</v>
      </c>
      <c r="H3" s="462"/>
      <c r="I3" s="470" t="s">
        <v>44</v>
      </c>
      <c r="J3" s="471"/>
      <c r="K3" s="466" t="s">
        <v>218</v>
      </c>
      <c r="L3" s="467"/>
      <c r="N3" s="460" t="s">
        <v>206</v>
      </c>
      <c r="O3" s="460" t="s">
        <v>205</v>
      </c>
      <c r="P3" s="460" t="s">
        <v>207</v>
      </c>
    </row>
    <row r="4" spans="1:16" ht="15" customHeight="1" x14ac:dyDescent="0.25">
      <c r="C4" s="457" t="s">
        <v>41</v>
      </c>
      <c r="D4" s="458"/>
      <c r="E4" s="457" t="s">
        <v>43</v>
      </c>
      <c r="F4" s="458"/>
      <c r="G4" s="457" t="s">
        <v>46</v>
      </c>
      <c r="H4" s="458"/>
      <c r="I4" s="457" t="s">
        <v>45</v>
      </c>
      <c r="J4" s="458"/>
      <c r="K4" s="468"/>
      <c r="L4" s="469"/>
      <c r="N4" s="394"/>
      <c r="O4" s="394"/>
      <c r="P4" s="394"/>
    </row>
    <row r="5" spans="1:16" ht="15.75" x14ac:dyDescent="0.25">
      <c r="A5" s="4" t="s">
        <v>37</v>
      </c>
      <c r="C5" s="203" t="s">
        <v>34</v>
      </c>
      <c r="D5" s="205" t="s">
        <v>42</v>
      </c>
      <c r="E5" s="203" t="s">
        <v>34</v>
      </c>
      <c r="F5" s="205" t="s">
        <v>42</v>
      </c>
      <c r="G5" s="203" t="s">
        <v>34</v>
      </c>
      <c r="H5" s="205" t="s">
        <v>42</v>
      </c>
      <c r="I5" s="203" t="s">
        <v>34</v>
      </c>
      <c r="J5" s="205" t="s">
        <v>42</v>
      </c>
      <c r="K5" s="203" t="s">
        <v>34</v>
      </c>
      <c r="L5" s="205" t="s">
        <v>35</v>
      </c>
      <c r="N5" s="395"/>
      <c r="O5" s="395"/>
      <c r="P5" s="395"/>
    </row>
    <row r="6" spans="1:16" ht="15.75" customHeight="1" x14ac:dyDescent="0.25">
      <c r="A6" s="388" t="s">
        <v>21</v>
      </c>
      <c r="B6" s="18" t="s">
        <v>6</v>
      </c>
      <c r="C6" s="125">
        <f>'Notas Dpto Alamcenaje'!K11</f>
        <v>1250</v>
      </c>
      <c r="D6" s="110" t="s">
        <v>108</v>
      </c>
      <c r="E6" s="125">
        <f>'Notas Dpto de Transportes'!N61+'Notas Dpto de Transportes'!N66</f>
        <v>36079.5</v>
      </c>
      <c r="F6" s="126" t="s">
        <v>184</v>
      </c>
      <c r="G6" s="123">
        <v>1500</v>
      </c>
      <c r="H6" s="124"/>
      <c r="I6" s="26"/>
      <c r="J6" s="127"/>
      <c r="K6" s="26">
        <f t="shared" ref="K6:K12" si="0">E6+G6+C6+I6</f>
        <v>38829.5</v>
      </c>
      <c r="L6" s="9"/>
      <c r="N6" s="138">
        <f>'Gtos Periodo'!C5</f>
        <v>41500</v>
      </c>
      <c r="O6" s="139">
        <f>N6-K6</f>
        <v>2670.5</v>
      </c>
      <c r="P6" s="140" t="s">
        <v>213</v>
      </c>
    </row>
    <row r="7" spans="1:16" x14ac:dyDescent="0.25">
      <c r="A7" s="389"/>
      <c r="B7" s="19" t="s">
        <v>1</v>
      </c>
      <c r="C7" s="27"/>
      <c r="D7" s="114"/>
      <c r="E7" s="113">
        <f>'Notas Dpto de Transportes'!M76+'Notas Dpto de Transportes'!M81</f>
        <v>4375</v>
      </c>
      <c r="F7" s="112" t="s">
        <v>189</v>
      </c>
      <c r="G7" s="27"/>
      <c r="H7" s="114"/>
      <c r="I7" s="27"/>
      <c r="J7" s="114"/>
      <c r="K7" s="27">
        <f t="shared" si="0"/>
        <v>4375</v>
      </c>
      <c r="L7" s="114"/>
      <c r="N7" s="141">
        <f>'Gtos Periodo'!C6</f>
        <v>5200</v>
      </c>
      <c r="O7" s="142">
        <f t="shared" ref="O7:O50" si="1">N7-K7</f>
        <v>825</v>
      </c>
      <c r="P7" s="143" t="s">
        <v>213</v>
      </c>
    </row>
    <row r="8" spans="1:16" x14ac:dyDescent="0.25">
      <c r="A8" s="389"/>
      <c r="B8" s="19" t="s">
        <v>2</v>
      </c>
      <c r="C8" s="108">
        <f>'Notas Dpto Alamcenaje'!N15</f>
        <v>300</v>
      </c>
      <c r="D8" s="110" t="s">
        <v>108</v>
      </c>
      <c r="E8" s="113">
        <f>'Notas Dpto de Transportes'!K76+'Notas Dpto de Transportes'!K81</f>
        <v>12172</v>
      </c>
      <c r="F8" s="112" t="s">
        <v>189</v>
      </c>
      <c r="G8" s="27"/>
      <c r="H8" s="10"/>
      <c r="I8" s="27"/>
      <c r="J8" s="10"/>
      <c r="K8" s="27">
        <f t="shared" si="0"/>
        <v>12472</v>
      </c>
      <c r="L8" s="10"/>
      <c r="N8" s="141">
        <f>'Gtos Periodo'!C7</f>
        <v>12500</v>
      </c>
      <c r="O8" s="142">
        <f t="shared" si="1"/>
        <v>28</v>
      </c>
      <c r="P8" s="143" t="s">
        <v>213</v>
      </c>
    </row>
    <row r="9" spans="1:16" x14ac:dyDescent="0.25">
      <c r="A9" s="389"/>
      <c r="B9" s="19" t="s">
        <v>0</v>
      </c>
      <c r="C9" s="128">
        <v>450</v>
      </c>
      <c r="D9" s="10"/>
      <c r="E9" s="128">
        <v>600</v>
      </c>
      <c r="F9" s="10"/>
      <c r="G9" s="128">
        <v>5500</v>
      </c>
      <c r="H9" s="21"/>
      <c r="I9" s="128">
        <v>550</v>
      </c>
      <c r="J9" s="10"/>
      <c r="K9" s="27">
        <f t="shared" si="0"/>
        <v>7100</v>
      </c>
      <c r="L9" s="10"/>
      <c r="N9" s="141">
        <f>'Gtos Periodo'!C8</f>
        <v>7700</v>
      </c>
      <c r="O9" s="142">
        <f t="shared" si="1"/>
        <v>600</v>
      </c>
      <c r="P9" s="6"/>
    </row>
    <row r="10" spans="1:16" x14ac:dyDescent="0.25">
      <c r="A10" s="389"/>
      <c r="B10" s="19" t="s">
        <v>5</v>
      </c>
      <c r="C10" s="108">
        <f>'Notas Dpto Alamcenaje'!L30</f>
        <v>37000.350000000006</v>
      </c>
      <c r="D10" s="110" t="s">
        <v>329</v>
      </c>
      <c r="E10" s="128">
        <v>300</v>
      </c>
      <c r="F10" s="10"/>
      <c r="G10" s="128">
        <v>100</v>
      </c>
      <c r="H10" s="21"/>
      <c r="I10" s="128">
        <v>1850</v>
      </c>
      <c r="J10" s="10"/>
      <c r="K10" s="28">
        <f t="shared" si="0"/>
        <v>39250.350000000006</v>
      </c>
      <c r="L10" s="10"/>
      <c r="N10" s="141">
        <f>'Gtos Periodo'!C9</f>
        <v>39250</v>
      </c>
      <c r="O10" s="142">
        <f t="shared" si="1"/>
        <v>-0.35000000000582077</v>
      </c>
      <c r="P10" s="143" t="s">
        <v>219</v>
      </c>
    </row>
    <row r="11" spans="1:16" x14ac:dyDescent="0.25">
      <c r="A11" s="389"/>
      <c r="B11" s="19" t="s">
        <v>27</v>
      </c>
      <c r="C11" s="129">
        <v>-125</v>
      </c>
      <c r="D11" s="115"/>
      <c r="E11" s="129">
        <v>-1500</v>
      </c>
      <c r="F11" s="115"/>
      <c r="G11" s="129">
        <v>-350</v>
      </c>
      <c r="H11" s="130"/>
      <c r="I11" s="129">
        <v>-200</v>
      </c>
      <c r="J11" s="115"/>
      <c r="K11" s="31">
        <f t="shared" si="0"/>
        <v>-2175</v>
      </c>
      <c r="L11" s="10"/>
      <c r="N11" s="141">
        <f>'Gtos Periodo'!C10</f>
        <v>2175</v>
      </c>
      <c r="O11" s="142">
        <f>N11+K11</f>
        <v>0</v>
      </c>
      <c r="P11" s="6"/>
    </row>
    <row r="12" spans="1:16" x14ac:dyDescent="0.25">
      <c r="A12" s="389"/>
      <c r="B12" s="19" t="s">
        <v>28</v>
      </c>
      <c r="C12" s="129">
        <v>-50</v>
      </c>
      <c r="D12" s="115"/>
      <c r="E12" s="129">
        <v>-500</v>
      </c>
      <c r="F12" s="115"/>
      <c r="G12" s="129">
        <v>-400</v>
      </c>
      <c r="H12" s="130"/>
      <c r="I12" s="129">
        <v>-200</v>
      </c>
      <c r="J12" s="115"/>
      <c r="K12" s="31">
        <f t="shared" si="0"/>
        <v>-1150</v>
      </c>
      <c r="L12" s="10"/>
      <c r="N12" s="141">
        <f>'Gtos Periodo'!C11</f>
        <v>1150</v>
      </c>
      <c r="O12" s="142">
        <f>N12+K12</f>
        <v>0</v>
      </c>
      <c r="P12" s="6"/>
    </row>
    <row r="13" spans="1:16" ht="15" customHeight="1" x14ac:dyDescent="0.25">
      <c r="A13" s="390"/>
      <c r="B13" s="8"/>
      <c r="C13" s="131">
        <f>SUM(C6:C12)</f>
        <v>38825.350000000006</v>
      </c>
      <c r="D13" s="132"/>
      <c r="E13" s="29">
        <f>SUM(E6:E12)</f>
        <v>51526.5</v>
      </c>
      <c r="F13" s="97" t="s">
        <v>184</v>
      </c>
      <c r="G13" s="29">
        <f>SUM(G6:G12)</f>
        <v>6350</v>
      </c>
      <c r="H13" s="132"/>
      <c r="I13" s="29">
        <f t="shared" ref="I13:K13" si="2">SUM(I6:I12)</f>
        <v>2000</v>
      </c>
      <c r="J13" s="132"/>
      <c r="K13" s="29">
        <f t="shared" si="2"/>
        <v>98701.85</v>
      </c>
      <c r="L13" s="132"/>
      <c r="N13" s="144">
        <f>SUM(N6:N10)-N11-N12</f>
        <v>102825</v>
      </c>
      <c r="O13" s="145">
        <f>SUM(O6:O10)-O11-O12</f>
        <v>4123.1499999999942</v>
      </c>
      <c r="P13" s="146"/>
    </row>
    <row r="14" spans="1:16" ht="15" customHeight="1" x14ac:dyDescent="0.25">
      <c r="A14" s="388" t="s">
        <v>22</v>
      </c>
      <c r="B14" s="18" t="s">
        <v>68</v>
      </c>
      <c r="C14" s="123">
        <v>600</v>
      </c>
      <c r="D14" s="9"/>
      <c r="E14" s="125">
        <f>'Notas Dpto de Transportes'!K35</f>
        <v>11486</v>
      </c>
      <c r="F14" s="126" t="s">
        <v>156</v>
      </c>
      <c r="G14" s="123">
        <v>800</v>
      </c>
      <c r="H14" s="22"/>
      <c r="I14" s="123">
        <v>400</v>
      </c>
      <c r="J14" s="22"/>
      <c r="K14" s="26">
        <f t="shared" ref="K14:K51" si="3">E14+G14+C14+I14</f>
        <v>13286</v>
      </c>
      <c r="L14" s="9"/>
      <c r="N14" s="138">
        <f>'Gtos Periodo'!C13</f>
        <v>17000</v>
      </c>
      <c r="O14" s="139">
        <f t="shared" si="1"/>
        <v>3714</v>
      </c>
      <c r="P14" s="140" t="s">
        <v>208</v>
      </c>
    </row>
    <row r="15" spans="1:16" x14ac:dyDescent="0.25">
      <c r="A15" s="389"/>
      <c r="B15" s="19" t="s">
        <v>80</v>
      </c>
      <c r="C15" s="108">
        <f>'Notas Dpto Alamcenaje'!C12</f>
        <v>1500</v>
      </c>
      <c r="D15" s="110" t="s">
        <v>86</v>
      </c>
      <c r="E15" s="113">
        <f>'Notas Dpto de Transportes'!C12</f>
        <v>2000</v>
      </c>
      <c r="F15" s="112" t="s">
        <v>86</v>
      </c>
      <c r="G15" s="128">
        <v>1100</v>
      </c>
      <c r="H15" s="21"/>
      <c r="I15" s="128">
        <v>300</v>
      </c>
      <c r="J15" s="21"/>
      <c r="K15" s="28">
        <f t="shared" si="3"/>
        <v>4900</v>
      </c>
      <c r="L15" s="10"/>
      <c r="N15" s="141">
        <f>'Gtos Periodo'!C14</f>
        <v>5000</v>
      </c>
      <c r="O15" s="142">
        <f t="shared" si="1"/>
        <v>100</v>
      </c>
      <c r="P15" s="143" t="s">
        <v>209</v>
      </c>
    </row>
    <row r="16" spans="1:16" x14ac:dyDescent="0.25">
      <c r="A16" s="389"/>
      <c r="B16" s="19" t="s">
        <v>69</v>
      </c>
      <c r="C16" s="133"/>
      <c r="D16" s="10"/>
      <c r="E16" s="133"/>
      <c r="F16" s="10"/>
      <c r="G16" s="128">
        <v>1250</v>
      </c>
      <c r="H16" s="21"/>
      <c r="I16" s="134"/>
      <c r="J16" s="21"/>
      <c r="K16" s="28">
        <f t="shared" si="3"/>
        <v>1250</v>
      </c>
      <c r="L16" s="10"/>
      <c r="N16" s="141">
        <f>'Gtos Periodo'!C15</f>
        <v>1450</v>
      </c>
      <c r="O16" s="142">
        <f t="shared" si="1"/>
        <v>200</v>
      </c>
      <c r="P16" s="143" t="s">
        <v>210</v>
      </c>
    </row>
    <row r="17" spans="1:16" ht="15" customHeight="1" x14ac:dyDescent="0.25">
      <c r="A17" s="389"/>
      <c r="B17" s="19" t="s">
        <v>26</v>
      </c>
      <c r="C17" s="128">
        <v>600</v>
      </c>
      <c r="D17" s="10"/>
      <c r="E17" s="128">
        <v>950</v>
      </c>
      <c r="F17" s="10"/>
      <c r="G17" s="128">
        <v>400</v>
      </c>
      <c r="H17" s="21"/>
      <c r="I17" s="128">
        <v>100</v>
      </c>
      <c r="J17" s="21"/>
      <c r="K17" s="28">
        <f t="shared" si="3"/>
        <v>2050</v>
      </c>
      <c r="L17" s="10"/>
      <c r="N17" s="141">
        <f>'Gtos Periodo'!C16</f>
        <v>2780</v>
      </c>
      <c r="O17" s="142">
        <f t="shared" si="1"/>
        <v>730</v>
      </c>
      <c r="P17" s="143" t="s">
        <v>211</v>
      </c>
    </row>
    <row r="18" spans="1:16" x14ac:dyDescent="0.25">
      <c r="A18" s="389"/>
      <c r="B18" s="19" t="s">
        <v>8</v>
      </c>
      <c r="C18" s="128">
        <v>250</v>
      </c>
      <c r="D18" s="10"/>
      <c r="E18" s="128">
        <v>300</v>
      </c>
      <c r="F18" s="10"/>
      <c r="G18" s="128">
        <v>100</v>
      </c>
      <c r="H18" s="21"/>
      <c r="I18" s="128">
        <v>50</v>
      </c>
      <c r="J18" s="21"/>
      <c r="K18" s="28">
        <f t="shared" si="3"/>
        <v>700</v>
      </c>
      <c r="L18" s="10"/>
      <c r="N18" s="141">
        <f>'Gtos Periodo'!C17</f>
        <v>700</v>
      </c>
      <c r="O18" s="142">
        <f t="shared" si="1"/>
        <v>0</v>
      </c>
      <c r="P18" s="6"/>
    </row>
    <row r="19" spans="1:16" x14ac:dyDescent="0.25">
      <c r="A19" s="389"/>
      <c r="B19" s="19" t="s">
        <v>14</v>
      </c>
      <c r="C19" s="128">
        <v>500</v>
      </c>
      <c r="D19" s="118"/>
      <c r="E19" s="128">
        <v>800</v>
      </c>
      <c r="F19" s="10"/>
      <c r="G19" s="128">
        <v>1200</v>
      </c>
      <c r="H19" s="21"/>
      <c r="I19" s="128">
        <v>125</v>
      </c>
      <c r="J19" s="21"/>
      <c r="K19" s="28">
        <f t="shared" si="3"/>
        <v>2625</v>
      </c>
      <c r="L19" s="10"/>
      <c r="N19" s="141">
        <f>'Gtos Periodo'!C18</f>
        <v>2820</v>
      </c>
      <c r="O19" s="142">
        <f t="shared" si="1"/>
        <v>195</v>
      </c>
      <c r="P19" s="143" t="s">
        <v>212</v>
      </c>
    </row>
    <row r="20" spans="1:16" x14ac:dyDescent="0.25">
      <c r="A20" s="389"/>
      <c r="B20" s="19" t="s">
        <v>10</v>
      </c>
      <c r="C20" s="133"/>
      <c r="D20" s="10"/>
      <c r="E20" s="128">
        <v>4200</v>
      </c>
      <c r="F20" s="10"/>
      <c r="G20" s="128">
        <v>500</v>
      </c>
      <c r="H20" s="21"/>
      <c r="I20" s="128">
        <v>150</v>
      </c>
      <c r="J20" s="21"/>
      <c r="K20" s="28">
        <f t="shared" si="3"/>
        <v>4850</v>
      </c>
      <c r="L20" s="10"/>
      <c r="N20" s="141">
        <f>'Gtos Periodo'!C19</f>
        <v>4850</v>
      </c>
      <c r="O20" s="142">
        <f t="shared" si="1"/>
        <v>0</v>
      </c>
      <c r="P20" s="6"/>
    </row>
    <row r="21" spans="1:16" x14ac:dyDescent="0.25">
      <c r="A21" s="389"/>
      <c r="B21" s="19" t="s">
        <v>70</v>
      </c>
      <c r="C21" s="133"/>
      <c r="D21" s="10"/>
      <c r="E21" s="133"/>
      <c r="F21" s="10"/>
      <c r="G21" s="134"/>
      <c r="H21" s="21"/>
      <c r="I21" s="128">
        <v>10000</v>
      </c>
      <c r="J21" s="21"/>
      <c r="K21" s="28">
        <v>10000</v>
      </c>
      <c r="L21" s="10"/>
      <c r="N21" s="141">
        <f>'Gtos Periodo'!C20</f>
        <v>10000</v>
      </c>
      <c r="O21" s="142">
        <f t="shared" si="1"/>
        <v>0</v>
      </c>
      <c r="P21" s="6"/>
    </row>
    <row r="22" spans="1:16" x14ac:dyDescent="0.25">
      <c r="A22" s="389"/>
      <c r="B22" s="19" t="s">
        <v>71</v>
      </c>
      <c r="C22" s="108">
        <f>'Notas Dpto Alamcenaje'!N14</f>
        <v>500</v>
      </c>
      <c r="D22" s="110" t="s">
        <v>108</v>
      </c>
      <c r="E22" s="113">
        <f>'Notas Dpto de Transportes'!O76+'Notas Dpto de Transportes'!O81</f>
        <v>4414</v>
      </c>
      <c r="F22" s="112" t="s">
        <v>189</v>
      </c>
      <c r="G22" s="128">
        <v>450</v>
      </c>
      <c r="H22" s="21"/>
      <c r="I22" s="128">
        <v>350</v>
      </c>
      <c r="J22" s="21"/>
      <c r="K22" s="28">
        <f t="shared" si="3"/>
        <v>5714</v>
      </c>
      <c r="L22" s="10"/>
      <c r="N22" s="141">
        <f>'Gtos Periodo'!C21</f>
        <v>6100</v>
      </c>
      <c r="O22" s="142">
        <f t="shared" si="1"/>
        <v>386</v>
      </c>
      <c r="P22" s="143" t="s">
        <v>212</v>
      </c>
    </row>
    <row r="23" spans="1:16" x14ac:dyDescent="0.25">
      <c r="A23" s="389"/>
      <c r="B23" s="19" t="s">
        <v>23</v>
      </c>
      <c r="C23" s="128">
        <v>350</v>
      </c>
      <c r="D23" s="10"/>
      <c r="E23" s="128">
        <v>580</v>
      </c>
      <c r="F23" s="10"/>
      <c r="G23" s="128">
        <v>2200</v>
      </c>
      <c r="H23" s="21"/>
      <c r="I23" s="128">
        <v>420</v>
      </c>
      <c r="J23" s="21"/>
      <c r="K23" s="28">
        <f t="shared" si="3"/>
        <v>3550</v>
      </c>
      <c r="L23" s="10"/>
      <c r="N23" s="141">
        <f>'Gtos Periodo'!C22</f>
        <v>4910</v>
      </c>
      <c r="O23" s="142">
        <f t="shared" si="1"/>
        <v>1360</v>
      </c>
      <c r="P23" s="143" t="s">
        <v>220</v>
      </c>
    </row>
    <row r="24" spans="1:16" x14ac:dyDescent="0.25">
      <c r="A24" s="389"/>
      <c r="B24" s="19" t="s">
        <v>29</v>
      </c>
      <c r="C24" s="128">
        <v>450</v>
      </c>
      <c r="D24" s="10"/>
      <c r="E24" s="128">
        <v>950</v>
      </c>
      <c r="F24" s="10"/>
      <c r="G24" s="128">
        <v>150</v>
      </c>
      <c r="H24" s="21"/>
      <c r="I24" s="128">
        <v>25</v>
      </c>
      <c r="J24" s="21"/>
      <c r="K24" s="28">
        <f t="shared" si="3"/>
        <v>1575</v>
      </c>
      <c r="L24" s="10"/>
      <c r="N24" s="141">
        <f>'Gtos Periodo'!C23</f>
        <v>2625</v>
      </c>
      <c r="O24" s="142">
        <f t="shared" si="1"/>
        <v>1050</v>
      </c>
      <c r="P24" s="6"/>
    </row>
    <row r="25" spans="1:16" x14ac:dyDescent="0.25">
      <c r="A25" s="389"/>
      <c r="B25" s="19" t="s">
        <v>33</v>
      </c>
      <c r="C25" s="133"/>
      <c r="D25" s="10"/>
      <c r="E25" s="133"/>
      <c r="F25" s="10"/>
      <c r="G25" s="133"/>
      <c r="H25" s="10"/>
      <c r="I25" s="133"/>
      <c r="J25" s="10"/>
      <c r="K25" s="28">
        <f t="shared" si="3"/>
        <v>0</v>
      </c>
      <c r="L25" s="10"/>
      <c r="N25" s="141">
        <f>'Gtos Periodo'!C24</f>
        <v>1</v>
      </c>
      <c r="O25" s="142">
        <f t="shared" si="1"/>
        <v>1</v>
      </c>
      <c r="P25" s="6"/>
    </row>
    <row r="26" spans="1:16" x14ac:dyDescent="0.25">
      <c r="A26" s="390"/>
      <c r="B26" s="8"/>
      <c r="C26" s="131">
        <f>SUM(C14:C25)</f>
        <v>4750</v>
      </c>
      <c r="D26" s="132"/>
      <c r="E26" s="29">
        <f>SUM(E14:E25)</f>
        <v>25680</v>
      </c>
      <c r="F26" s="132"/>
      <c r="G26" s="29">
        <f>SUM(G14:G25)</f>
        <v>8150</v>
      </c>
      <c r="H26" s="132"/>
      <c r="I26" s="29">
        <f>SUM(I14:I25)</f>
        <v>11920</v>
      </c>
      <c r="J26" s="132"/>
      <c r="K26" s="29">
        <f t="shared" si="3"/>
        <v>50500</v>
      </c>
      <c r="L26" s="132"/>
      <c r="N26" s="144">
        <f>SUM(N14:N25)</f>
        <v>58236</v>
      </c>
      <c r="O26" s="145">
        <f>SUM(O14:O25)</f>
        <v>7736</v>
      </c>
      <c r="P26" s="146"/>
    </row>
    <row r="27" spans="1:16" ht="15" customHeight="1" x14ac:dyDescent="0.25">
      <c r="A27" s="385" t="s">
        <v>30</v>
      </c>
      <c r="B27" s="18" t="s">
        <v>72</v>
      </c>
      <c r="C27" s="123">
        <v>750</v>
      </c>
      <c r="D27" s="9"/>
      <c r="E27" s="135"/>
      <c r="F27" s="9"/>
      <c r="G27" s="123">
        <v>800</v>
      </c>
      <c r="H27" s="9"/>
      <c r="I27" s="123">
        <v>1500</v>
      </c>
      <c r="J27" s="9"/>
      <c r="K27" s="135">
        <f t="shared" si="3"/>
        <v>3050</v>
      </c>
      <c r="L27" s="9"/>
      <c r="N27" s="138">
        <f>'Gtos Periodo'!C26</f>
        <v>3500</v>
      </c>
      <c r="O27" s="139">
        <f t="shared" si="1"/>
        <v>450</v>
      </c>
      <c r="P27" s="140" t="s">
        <v>212</v>
      </c>
    </row>
    <row r="28" spans="1:16" x14ac:dyDescent="0.25">
      <c r="A28" s="386"/>
      <c r="B28" s="19" t="s">
        <v>31</v>
      </c>
      <c r="C28" s="128">
        <v>750</v>
      </c>
      <c r="D28" s="10"/>
      <c r="E28" s="108">
        <f>'Notas Dpto de Transportes'!K41</f>
        <v>1200</v>
      </c>
      <c r="F28" s="110" t="s">
        <v>163</v>
      </c>
      <c r="G28" s="28"/>
      <c r="H28" s="10"/>
      <c r="I28" s="128">
        <v>620</v>
      </c>
      <c r="J28" s="10"/>
      <c r="K28" s="28">
        <f t="shared" si="3"/>
        <v>2570</v>
      </c>
      <c r="L28" s="10"/>
      <c r="N28" s="141">
        <f>'Gtos Periodo'!C27</f>
        <v>2600</v>
      </c>
      <c r="O28" s="142">
        <f t="shared" si="1"/>
        <v>30</v>
      </c>
      <c r="P28" s="143" t="s">
        <v>212</v>
      </c>
    </row>
    <row r="29" spans="1:16" x14ac:dyDescent="0.25">
      <c r="A29" s="386"/>
      <c r="B29" s="19" t="s">
        <v>32</v>
      </c>
      <c r="C29" s="28"/>
      <c r="D29" s="10"/>
      <c r="E29" s="108">
        <f>'Notas Dpto de Transportes'!Q47</f>
        <v>3091</v>
      </c>
      <c r="F29" s="110" t="s">
        <v>163</v>
      </c>
      <c r="G29" s="128">
        <v>450</v>
      </c>
      <c r="H29" s="10"/>
      <c r="I29" s="28"/>
      <c r="J29" s="10"/>
      <c r="K29" s="28">
        <f t="shared" si="3"/>
        <v>3541</v>
      </c>
      <c r="L29" s="10"/>
      <c r="N29" s="141">
        <f>'Gtos Periodo'!C28</f>
        <v>3650</v>
      </c>
      <c r="O29" s="142">
        <f t="shared" si="1"/>
        <v>109</v>
      </c>
      <c r="P29" s="143" t="s">
        <v>212</v>
      </c>
    </row>
    <row r="30" spans="1:16" x14ac:dyDescent="0.25">
      <c r="A30" s="386"/>
      <c r="B30" s="19" t="s">
        <v>73</v>
      </c>
      <c r="C30" s="28"/>
      <c r="D30" s="10"/>
      <c r="E30" s="108">
        <f>'Notas Dpto de Transportes'!K46</f>
        <v>300</v>
      </c>
      <c r="F30" s="110" t="s">
        <v>163</v>
      </c>
      <c r="G30" s="28"/>
      <c r="H30" s="10"/>
      <c r="I30" s="128">
        <v>1500</v>
      </c>
      <c r="J30" s="10"/>
      <c r="K30" s="28">
        <f t="shared" si="3"/>
        <v>1800</v>
      </c>
      <c r="L30" s="10"/>
      <c r="N30" s="141">
        <f>'Gtos Periodo'!C29</f>
        <v>1800</v>
      </c>
      <c r="O30" s="142">
        <f t="shared" si="1"/>
        <v>0</v>
      </c>
      <c r="P30" s="6"/>
    </row>
    <row r="31" spans="1:16" x14ac:dyDescent="0.25">
      <c r="A31" s="387"/>
      <c r="B31" s="8"/>
      <c r="C31" s="131">
        <f>SUM(C27:C30)</f>
        <v>1500</v>
      </c>
      <c r="D31" s="132"/>
      <c r="E31" s="29">
        <f>SUM(E27:E30)</f>
        <v>4591</v>
      </c>
      <c r="F31" s="132"/>
      <c r="G31" s="29">
        <f>SUM(G27:G30)</f>
        <v>1250</v>
      </c>
      <c r="H31" s="132"/>
      <c r="I31" s="29">
        <f>SUM(I27:I30)</f>
        <v>3620</v>
      </c>
      <c r="J31" s="132"/>
      <c r="K31" s="29">
        <f t="shared" si="3"/>
        <v>10961</v>
      </c>
      <c r="L31" s="132"/>
      <c r="N31" s="147">
        <f>SUM(N27:N30)</f>
        <v>11550</v>
      </c>
      <c r="O31" s="148">
        <f>SUM(O27:O30)</f>
        <v>589</v>
      </c>
      <c r="P31" s="149"/>
    </row>
    <row r="32" spans="1:16" ht="15.75" customHeight="1" x14ac:dyDescent="0.25">
      <c r="A32" s="388" t="s">
        <v>24</v>
      </c>
      <c r="B32" s="18" t="s">
        <v>3</v>
      </c>
      <c r="C32" s="107">
        <f>'Notas Dpto Alamcenaje'!C5</f>
        <v>54507.5</v>
      </c>
      <c r="D32" s="116">
        <f>'Notas Dpto Alamcenaje'!C4</f>
        <v>3</v>
      </c>
      <c r="E32" s="108">
        <f>'Notas Dpto de Transportes'!C5</f>
        <v>92419.166666666672</v>
      </c>
      <c r="F32" s="136">
        <f>'Notas Dpto de Transportes'!C4</f>
        <v>4</v>
      </c>
      <c r="G32" s="123">
        <f>I32*$H$32</f>
        <v>36338.333333333336</v>
      </c>
      <c r="H32" s="119">
        <v>2</v>
      </c>
      <c r="I32" s="123">
        <v>18169.166666666668</v>
      </c>
      <c r="J32" s="119">
        <v>1</v>
      </c>
      <c r="K32" s="135">
        <f t="shared" si="3"/>
        <v>201434.16666666666</v>
      </c>
      <c r="L32" s="9"/>
      <c r="N32" s="141">
        <f>'Gtos Periodo'!C31</f>
        <v>234720</v>
      </c>
      <c r="O32" s="142">
        <f t="shared" si="1"/>
        <v>33285.833333333343</v>
      </c>
      <c r="P32" s="143" t="s">
        <v>214</v>
      </c>
    </row>
    <row r="33" spans="1:19" x14ac:dyDescent="0.25">
      <c r="A33" s="389"/>
      <c r="B33" s="19" t="s">
        <v>4</v>
      </c>
      <c r="C33" s="108">
        <f>'Notas Dpto Alamcenaje'!C6</f>
        <v>27000</v>
      </c>
      <c r="D33" s="459" t="s">
        <v>86</v>
      </c>
      <c r="E33" s="108">
        <f>'Notas Dpto de Transportes'!C6</f>
        <v>44480</v>
      </c>
      <c r="F33" s="459" t="s">
        <v>86</v>
      </c>
      <c r="G33" s="128">
        <f t="shared" ref="G33:G38" si="4">I33*$H$32</f>
        <v>18000</v>
      </c>
      <c r="H33" s="10"/>
      <c r="I33" s="128">
        <v>9000</v>
      </c>
      <c r="J33" s="10"/>
      <c r="K33" s="28">
        <f t="shared" si="3"/>
        <v>98480</v>
      </c>
      <c r="L33" s="10"/>
      <c r="N33" s="141">
        <f>'Gtos Periodo'!C32</f>
        <v>98480</v>
      </c>
      <c r="O33" s="142">
        <f t="shared" si="1"/>
        <v>0</v>
      </c>
      <c r="P33" s="6"/>
    </row>
    <row r="34" spans="1:19" x14ac:dyDescent="0.25">
      <c r="A34" s="389"/>
      <c r="B34" s="19" t="s">
        <v>9</v>
      </c>
      <c r="C34" s="108">
        <f>'Notas Dpto Alamcenaje'!C7</f>
        <v>3600</v>
      </c>
      <c r="D34" s="459"/>
      <c r="E34" s="108">
        <f>'Notas Dpto de Transportes'!C7</f>
        <v>6900</v>
      </c>
      <c r="F34" s="459"/>
      <c r="G34" s="128">
        <f t="shared" si="4"/>
        <v>2400</v>
      </c>
      <c r="H34" s="10"/>
      <c r="I34" s="128">
        <v>1200</v>
      </c>
      <c r="J34" s="10"/>
      <c r="K34" s="28">
        <f t="shared" si="3"/>
        <v>14100</v>
      </c>
      <c r="L34" s="10"/>
      <c r="N34" s="141">
        <f>'Gtos Periodo'!C33</f>
        <v>16100</v>
      </c>
      <c r="O34" s="142">
        <f t="shared" si="1"/>
        <v>2000</v>
      </c>
      <c r="P34" s="143" t="s">
        <v>220</v>
      </c>
    </row>
    <row r="35" spans="1:19" x14ac:dyDescent="0.25">
      <c r="A35" s="389"/>
      <c r="B35" s="19" t="s">
        <v>11</v>
      </c>
      <c r="C35" s="108">
        <f>'Notas Dpto Alamcenaje'!C8</f>
        <v>2100</v>
      </c>
      <c r="D35" s="459"/>
      <c r="E35" s="108">
        <f>'Notas Dpto de Transportes'!C8</f>
        <v>2800</v>
      </c>
      <c r="F35" s="459"/>
      <c r="G35" s="128">
        <f t="shared" si="4"/>
        <v>1400</v>
      </c>
      <c r="H35" s="10"/>
      <c r="I35" s="128">
        <v>700</v>
      </c>
      <c r="J35" s="10"/>
      <c r="K35" s="28">
        <f t="shared" si="3"/>
        <v>7000</v>
      </c>
      <c r="L35" s="10"/>
      <c r="N35" s="141">
        <f>'Gtos Periodo'!C34</f>
        <v>7000</v>
      </c>
      <c r="O35" s="142">
        <f t="shared" si="1"/>
        <v>0</v>
      </c>
      <c r="P35" s="6"/>
    </row>
    <row r="36" spans="1:19" x14ac:dyDescent="0.25">
      <c r="A36" s="389"/>
      <c r="B36" s="19" t="s">
        <v>13</v>
      </c>
      <c r="C36" s="108">
        <f>'Notas Dpto Alamcenaje'!C9</f>
        <v>0</v>
      </c>
      <c r="D36" s="459"/>
      <c r="E36" s="108">
        <f>'Notas Dpto de Transportes'!C9</f>
        <v>7000</v>
      </c>
      <c r="F36" s="459"/>
      <c r="G36" s="28">
        <f t="shared" si="4"/>
        <v>0</v>
      </c>
      <c r="H36" s="10"/>
      <c r="I36" s="28"/>
      <c r="J36" s="10"/>
      <c r="K36" s="28">
        <f t="shared" si="3"/>
        <v>7000</v>
      </c>
      <c r="L36" s="10"/>
      <c r="N36" s="141">
        <f>'Gtos Periodo'!C35</f>
        <v>7000</v>
      </c>
      <c r="O36" s="142">
        <f t="shared" si="1"/>
        <v>0</v>
      </c>
      <c r="P36" s="6"/>
    </row>
    <row r="37" spans="1:19" x14ac:dyDescent="0.25">
      <c r="A37" s="389"/>
      <c r="B37" s="19" t="s">
        <v>16</v>
      </c>
      <c r="C37" s="108">
        <f>'Notas Dpto Alamcenaje'!C10</f>
        <v>900</v>
      </c>
      <c r="D37" s="459"/>
      <c r="E37" s="108">
        <f>'Notas Dpto de Transportes'!C10</f>
        <v>1200</v>
      </c>
      <c r="F37" s="459"/>
      <c r="G37" s="128">
        <f t="shared" si="4"/>
        <v>600</v>
      </c>
      <c r="H37" s="10"/>
      <c r="I37" s="128">
        <v>300</v>
      </c>
      <c r="J37" s="10"/>
      <c r="K37" s="28">
        <f t="shared" si="3"/>
        <v>3000</v>
      </c>
      <c r="L37" s="10"/>
      <c r="N37" s="141">
        <f>'Gtos Periodo'!C36</f>
        <v>3000</v>
      </c>
      <c r="O37" s="142">
        <f t="shared" si="1"/>
        <v>0</v>
      </c>
      <c r="P37" s="6"/>
    </row>
    <row r="38" spans="1:19" x14ac:dyDescent="0.25">
      <c r="A38" s="389"/>
      <c r="B38" s="19" t="s">
        <v>25</v>
      </c>
      <c r="C38" s="108">
        <f>'Notas Dpto Alamcenaje'!C11</f>
        <v>2100</v>
      </c>
      <c r="D38" s="459"/>
      <c r="E38" s="108">
        <f>'Notas Dpto de Transportes'!C11</f>
        <v>3200</v>
      </c>
      <c r="F38" s="459"/>
      <c r="G38" s="128">
        <f t="shared" si="4"/>
        <v>1400</v>
      </c>
      <c r="H38" s="10"/>
      <c r="I38" s="128">
        <v>700</v>
      </c>
      <c r="J38" s="10"/>
      <c r="K38" s="28">
        <f t="shared" si="3"/>
        <v>7400</v>
      </c>
      <c r="L38" s="10"/>
      <c r="N38" s="141">
        <f>'Gtos Periodo'!C37</f>
        <v>7400</v>
      </c>
      <c r="O38" s="142">
        <f t="shared" si="1"/>
        <v>0</v>
      </c>
      <c r="P38" s="6"/>
    </row>
    <row r="39" spans="1:19" x14ac:dyDescent="0.25">
      <c r="A39" s="390"/>
      <c r="B39" s="8"/>
      <c r="C39" s="131">
        <f>SUM(C32:C38)</f>
        <v>90207.5</v>
      </c>
      <c r="D39" s="132"/>
      <c r="E39" s="29">
        <f>SUM(E32:E38)</f>
        <v>157999.16666666669</v>
      </c>
      <c r="F39" s="132"/>
      <c r="G39" s="29">
        <f>SUM(G32:G38)</f>
        <v>60138.333333333336</v>
      </c>
      <c r="H39" s="132"/>
      <c r="I39" s="29">
        <f>SUM(I32:I38)</f>
        <v>30069.166666666668</v>
      </c>
      <c r="J39" s="132"/>
      <c r="K39" s="29">
        <f t="shared" si="3"/>
        <v>338414.16666666669</v>
      </c>
      <c r="L39" s="132"/>
      <c r="N39" s="144">
        <f>SUM(N32:N38)</f>
        <v>373700</v>
      </c>
      <c r="O39" s="145">
        <f>SUM(O32:O38)</f>
        <v>35285.833333333343</v>
      </c>
      <c r="P39" s="146"/>
    </row>
    <row r="40" spans="1:19" ht="15.75" customHeight="1" x14ac:dyDescent="0.25">
      <c r="A40" s="385" t="s">
        <v>47</v>
      </c>
      <c r="B40" s="18" t="s">
        <v>74</v>
      </c>
      <c r="C40" s="135"/>
      <c r="D40" s="32">
        <v>0</v>
      </c>
      <c r="E40" s="107">
        <f>'Notas Dpto de Transportes'!N17</f>
        <v>9696.3466666666664</v>
      </c>
      <c r="F40" s="137" t="s">
        <v>190</v>
      </c>
      <c r="G40" s="123">
        <v>525</v>
      </c>
      <c r="H40" s="120"/>
      <c r="I40" s="123">
        <v>150</v>
      </c>
      <c r="J40" s="120"/>
      <c r="K40" s="135">
        <f t="shared" si="3"/>
        <v>10371.346666666666</v>
      </c>
      <c r="L40" s="9"/>
      <c r="N40" s="138">
        <f>'Gtos Periodo'!C39</f>
        <v>13140</v>
      </c>
      <c r="O40" s="139">
        <f t="shared" si="1"/>
        <v>2768.6533333333336</v>
      </c>
      <c r="P40" s="140" t="s">
        <v>221</v>
      </c>
    </row>
    <row r="41" spans="1:19" ht="15.75" customHeight="1" x14ac:dyDescent="0.25">
      <c r="A41" s="386"/>
      <c r="B41" s="19" t="s">
        <v>18</v>
      </c>
      <c r="C41" s="128">
        <v>1250</v>
      </c>
      <c r="D41" s="10"/>
      <c r="E41" s="108">
        <f>'Notas Dpto de Transportes'!Q11</f>
        <v>850</v>
      </c>
      <c r="F41" s="110" t="s">
        <v>191</v>
      </c>
      <c r="G41" s="128">
        <v>600</v>
      </c>
      <c r="H41" s="10"/>
      <c r="I41" s="128">
        <v>100</v>
      </c>
      <c r="J41" s="10"/>
      <c r="K41" s="28">
        <f t="shared" si="3"/>
        <v>2800</v>
      </c>
      <c r="L41" s="10"/>
      <c r="N41" s="141">
        <f>'Gtos Periodo'!C40</f>
        <v>3200</v>
      </c>
      <c r="O41" s="142">
        <f t="shared" si="1"/>
        <v>400</v>
      </c>
      <c r="P41" s="143" t="s">
        <v>221</v>
      </c>
    </row>
    <row r="42" spans="1:19" x14ac:dyDescent="0.25">
      <c r="A42" s="386"/>
      <c r="B42" s="19" t="s">
        <v>7</v>
      </c>
      <c r="C42" s="128">
        <v>150</v>
      </c>
      <c r="D42" s="10"/>
      <c r="E42" s="108">
        <f>'Notas Dpto de Transportes'!Q8</f>
        <v>300</v>
      </c>
      <c r="F42" s="110" t="s">
        <v>191</v>
      </c>
      <c r="G42" s="28"/>
      <c r="H42" s="10"/>
      <c r="I42" s="28"/>
      <c r="J42" s="10"/>
      <c r="K42" s="28">
        <f t="shared" si="3"/>
        <v>450</v>
      </c>
      <c r="L42" s="10"/>
      <c r="N42" s="141">
        <f>'Gtos Periodo'!C41</f>
        <v>500</v>
      </c>
      <c r="O42" s="142">
        <f t="shared" si="1"/>
        <v>50</v>
      </c>
      <c r="P42" s="143" t="s">
        <v>221</v>
      </c>
    </row>
    <row r="43" spans="1:19" x14ac:dyDescent="0.25">
      <c r="A43" s="386"/>
      <c r="B43" s="19" t="s">
        <v>75</v>
      </c>
      <c r="C43" s="128">
        <v>150</v>
      </c>
      <c r="D43" s="10"/>
      <c r="E43" s="108">
        <f>'Notas Dpto de Transportes'!Q6+'Notas Dpto de Transportes'!Q5</f>
        <v>300</v>
      </c>
      <c r="F43" s="110" t="s">
        <v>191</v>
      </c>
      <c r="G43" s="128">
        <v>450</v>
      </c>
      <c r="H43" s="10"/>
      <c r="I43" s="28"/>
      <c r="J43" s="10"/>
      <c r="K43" s="28">
        <f t="shared" si="3"/>
        <v>900</v>
      </c>
      <c r="L43" s="10"/>
      <c r="N43" s="141">
        <f>'Gtos Periodo'!C42</f>
        <v>300</v>
      </c>
      <c r="O43" s="142">
        <f t="shared" si="1"/>
        <v>-600</v>
      </c>
      <c r="P43" s="143" t="s">
        <v>221</v>
      </c>
    </row>
    <row r="44" spans="1:19" x14ac:dyDescent="0.25">
      <c r="A44" s="386"/>
      <c r="B44" s="19" t="s">
        <v>19</v>
      </c>
      <c r="C44" s="128">
        <v>825</v>
      </c>
      <c r="D44" s="10"/>
      <c r="E44" s="108">
        <f>'Notas Dpto de Transportes'!Q9</f>
        <v>100</v>
      </c>
      <c r="F44" s="110" t="s">
        <v>191</v>
      </c>
      <c r="G44" s="128">
        <v>155</v>
      </c>
      <c r="H44" s="10"/>
      <c r="I44" s="28"/>
      <c r="J44" s="10"/>
      <c r="K44" s="28">
        <f t="shared" si="3"/>
        <v>1080</v>
      </c>
      <c r="L44" s="10"/>
      <c r="N44" s="141">
        <f>'Gtos Periodo'!C43</f>
        <v>1800</v>
      </c>
      <c r="O44" s="142">
        <f t="shared" si="1"/>
        <v>720</v>
      </c>
      <c r="P44" s="143" t="s">
        <v>221</v>
      </c>
    </row>
    <row r="45" spans="1:19" x14ac:dyDescent="0.25">
      <c r="A45" s="386"/>
      <c r="B45" s="19" t="s">
        <v>20</v>
      </c>
      <c r="C45" s="108">
        <f>'Notas Dpto Alamcenaje'!O5+'Notas Dpto Alamcenaje'!O6+'Notas Dpto Alamcenaje'!O7</f>
        <v>1653.3333333333335</v>
      </c>
      <c r="D45" s="110" t="s">
        <v>108</v>
      </c>
      <c r="E45" s="108">
        <f>'Notas Dpto de Transportes'!Q10</f>
        <v>50</v>
      </c>
      <c r="F45" s="110" t="s">
        <v>191</v>
      </c>
      <c r="G45" s="28"/>
      <c r="H45" s="10"/>
      <c r="I45" s="28"/>
      <c r="J45" s="10"/>
      <c r="K45" s="28">
        <f t="shared" si="3"/>
        <v>1703.3333333333335</v>
      </c>
      <c r="L45" s="10"/>
      <c r="N45" s="141">
        <f>'Gtos Periodo'!C44</f>
        <v>3500</v>
      </c>
      <c r="O45" s="142">
        <f t="shared" si="1"/>
        <v>1796.6666666666665</v>
      </c>
      <c r="P45" s="143" t="s">
        <v>221</v>
      </c>
    </row>
    <row r="46" spans="1:19" x14ac:dyDescent="0.25">
      <c r="A46" s="386"/>
      <c r="B46" s="19" t="s">
        <v>17</v>
      </c>
      <c r="C46" s="128">
        <v>100</v>
      </c>
      <c r="D46" s="10"/>
      <c r="E46" s="108">
        <f>'Notas Dpto de Transportes'!Q7</f>
        <v>75</v>
      </c>
      <c r="F46" s="110" t="s">
        <v>191</v>
      </c>
      <c r="G46" s="128">
        <v>258</v>
      </c>
      <c r="H46" s="10"/>
      <c r="I46" s="128">
        <v>100</v>
      </c>
      <c r="J46" s="10"/>
      <c r="K46" s="28">
        <f t="shared" si="3"/>
        <v>533</v>
      </c>
      <c r="L46" s="10"/>
      <c r="N46" s="141">
        <f>'Gtos Periodo'!C45</f>
        <v>200</v>
      </c>
      <c r="O46" s="142">
        <f t="shared" si="1"/>
        <v>-333</v>
      </c>
      <c r="P46" s="143" t="s">
        <v>221</v>
      </c>
    </row>
    <row r="47" spans="1:19" x14ac:dyDescent="0.25">
      <c r="A47" s="386"/>
      <c r="B47" s="151"/>
      <c r="C47" s="152">
        <f>SUM(C40:C46)</f>
        <v>4128.3333333333339</v>
      </c>
      <c r="D47" s="153"/>
      <c r="E47" s="154">
        <f>SUM(E40:E46)</f>
        <v>11371.346666666666</v>
      </c>
      <c r="F47" s="153"/>
      <c r="G47" s="154">
        <f>SUM(G40:G46)</f>
        <v>1988</v>
      </c>
      <c r="H47" s="153"/>
      <c r="I47" s="154">
        <f>SUM(I40:I46)</f>
        <v>350</v>
      </c>
      <c r="J47" s="153"/>
      <c r="K47" s="154">
        <f t="shared" si="3"/>
        <v>17837.68</v>
      </c>
      <c r="L47" s="153"/>
      <c r="N47" s="147">
        <f>SUM(N40:N46)</f>
        <v>22640</v>
      </c>
      <c r="O47" s="148">
        <f>SUM(O40:O46)</f>
        <v>4802.32</v>
      </c>
      <c r="P47" s="149"/>
      <c r="S47" s="44"/>
    </row>
    <row r="48" spans="1:19" ht="15" customHeight="1" x14ac:dyDescent="0.25">
      <c r="A48" s="388" t="s">
        <v>5</v>
      </c>
      <c r="B48" s="22" t="s">
        <v>78</v>
      </c>
      <c r="C48" s="107">
        <f>'Notas Dpto Alamcenaje'!C13</f>
        <v>900</v>
      </c>
      <c r="D48" s="109" t="s">
        <v>86</v>
      </c>
      <c r="E48" s="107">
        <f>'Notas Dpto de Transportes'!C13</f>
        <v>1200</v>
      </c>
      <c r="F48" s="156" t="s">
        <v>86</v>
      </c>
      <c r="G48" s="123">
        <v>525</v>
      </c>
      <c r="H48" s="9"/>
      <c r="I48" s="123">
        <v>150</v>
      </c>
      <c r="J48" s="9"/>
      <c r="K48" s="135">
        <f t="shared" si="3"/>
        <v>2775</v>
      </c>
      <c r="L48" s="9"/>
      <c r="M48" s="20"/>
      <c r="N48" s="138">
        <f>'Gtos Periodo'!C48</f>
        <v>0</v>
      </c>
      <c r="O48" s="139">
        <f t="shared" si="1"/>
        <v>-2775</v>
      </c>
      <c r="P48" s="140" t="s">
        <v>215</v>
      </c>
    </row>
    <row r="49" spans="1:16" x14ac:dyDescent="0.25">
      <c r="A49" s="389"/>
      <c r="B49" s="21" t="s">
        <v>15</v>
      </c>
      <c r="C49" s="108">
        <f>'Notas Dpto Alamcenaje'!N13</f>
        <v>800</v>
      </c>
      <c r="D49" s="110" t="s">
        <v>108</v>
      </c>
      <c r="E49" s="128">
        <v>650</v>
      </c>
      <c r="F49" s="10"/>
      <c r="G49" s="128">
        <v>1300</v>
      </c>
      <c r="H49" s="10"/>
      <c r="I49" s="28"/>
      <c r="J49" s="10"/>
      <c r="K49" s="28">
        <f t="shared" si="3"/>
        <v>2750</v>
      </c>
      <c r="L49" s="10"/>
      <c r="M49" s="5"/>
      <c r="N49" s="141">
        <f>'Gtos Periodo'!C49</f>
        <v>0</v>
      </c>
      <c r="O49" s="142">
        <f t="shared" si="1"/>
        <v>-2750</v>
      </c>
      <c r="P49" s="143" t="s">
        <v>215</v>
      </c>
    </row>
    <row r="50" spans="1:16" x14ac:dyDescent="0.25">
      <c r="A50" s="389"/>
      <c r="B50" s="21" t="s">
        <v>81</v>
      </c>
      <c r="C50" s="128">
        <v>1100</v>
      </c>
      <c r="D50" s="10"/>
      <c r="E50" s="128">
        <v>4250</v>
      </c>
      <c r="F50" s="10"/>
      <c r="G50" s="28"/>
      <c r="H50" s="10"/>
      <c r="I50" s="28"/>
      <c r="J50" s="10"/>
      <c r="K50" s="28">
        <f t="shared" si="3"/>
        <v>5350</v>
      </c>
      <c r="L50" s="10"/>
      <c r="M50" s="5"/>
      <c r="N50" s="141">
        <f>'Gtos Periodo'!C50</f>
        <v>0</v>
      </c>
      <c r="O50" s="142">
        <f t="shared" si="1"/>
        <v>-5350</v>
      </c>
      <c r="P50" s="143" t="s">
        <v>215</v>
      </c>
    </row>
    <row r="51" spans="1:16" x14ac:dyDescent="0.25">
      <c r="A51" s="390"/>
      <c r="B51" s="8"/>
      <c r="C51" s="131">
        <f>SUM(C48:C50)</f>
        <v>2800</v>
      </c>
      <c r="D51" s="132"/>
      <c r="E51" s="29">
        <f>SUM(E48:E50)</f>
        <v>6100</v>
      </c>
      <c r="F51" s="132"/>
      <c r="G51" s="29">
        <f>SUM(G48:G50)</f>
        <v>1825</v>
      </c>
      <c r="H51" s="132"/>
      <c r="I51" s="29">
        <f>SUM(I48:I50)</f>
        <v>150</v>
      </c>
      <c r="J51" s="132"/>
      <c r="K51" s="29">
        <f t="shared" si="3"/>
        <v>10875</v>
      </c>
      <c r="L51" s="132"/>
      <c r="M51" s="157"/>
      <c r="N51" s="144">
        <f>SUM(N48:N50)</f>
        <v>0</v>
      </c>
      <c r="O51" s="145">
        <f>SUM(O48:O50)</f>
        <v>-10875</v>
      </c>
      <c r="P51" s="100"/>
    </row>
    <row r="52" spans="1:16" x14ac:dyDescent="0.25">
      <c r="A52" s="456" t="s">
        <v>79</v>
      </c>
      <c r="B52" s="456"/>
      <c r="C52" s="158">
        <f>C51+C47+C39+C31+C26+C13</f>
        <v>142211.18333333335</v>
      </c>
      <c r="D52" s="159">
        <f>C52/$K$52</f>
        <v>0.26970218502720733</v>
      </c>
      <c r="E52" s="158">
        <f>E51+E47+E39+E31+E26+E13</f>
        <v>257268.01333333337</v>
      </c>
      <c r="F52" s="159">
        <f>E52/$K$52</f>
        <v>0.48790639179883089</v>
      </c>
      <c r="G52" s="158">
        <f>G51+G47+G39+G31+G26+G13</f>
        <v>79701.333333333343</v>
      </c>
      <c r="H52" s="159">
        <f>G52/$K$52</f>
        <v>0.15115283654730244</v>
      </c>
      <c r="I52" s="158">
        <f>I51+I47+I39+I31+I26+I13</f>
        <v>48109.166666666672</v>
      </c>
      <c r="J52" s="159">
        <f>I52/$K$52</f>
        <v>9.1238586626659485E-2</v>
      </c>
      <c r="K52" s="158">
        <f>K51+K47+K39+K31+K26+K13</f>
        <v>527289.69666666666</v>
      </c>
      <c r="L52" s="160">
        <f>J52+D52+H52+F52</f>
        <v>1.0000000000000002</v>
      </c>
      <c r="M52" s="102"/>
      <c r="N52" s="158">
        <f>N51+N47+N39+N31+N26+N13</f>
        <v>568951</v>
      </c>
      <c r="O52" s="158">
        <f>O51+O47+O39+O31+O26+O13</f>
        <v>41661.303333333337</v>
      </c>
      <c r="P52" s="102"/>
    </row>
    <row r="53" spans="1:16" x14ac:dyDescent="0.25">
      <c r="A53" s="103"/>
      <c r="B53" s="103"/>
      <c r="C53" s="5"/>
      <c r="D53" s="5"/>
      <c r="E53" s="5"/>
      <c r="F53" s="5"/>
      <c r="G53" s="5"/>
      <c r="H53" s="5"/>
      <c r="I53" s="5"/>
      <c r="J53" s="15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5" customHeight="1" x14ac:dyDescent="0.25"/>
    <row r="61" spans="1:16" ht="15.75" customHeight="1" x14ac:dyDescent="0.25"/>
  </sheetData>
  <mergeCells count="23">
    <mergeCell ref="N2:P2"/>
    <mergeCell ref="A32:A39"/>
    <mergeCell ref="A40:A47"/>
    <mergeCell ref="A48:A51"/>
    <mergeCell ref="A14:A26"/>
    <mergeCell ref="A6:A13"/>
    <mergeCell ref="G3:H3"/>
    <mergeCell ref="K3:L4"/>
    <mergeCell ref="I3:J3"/>
    <mergeCell ref="I4:J4"/>
    <mergeCell ref="A27:A31"/>
    <mergeCell ref="P3:P5"/>
    <mergeCell ref="C2:F2"/>
    <mergeCell ref="G2:L2"/>
    <mergeCell ref="A52:B52"/>
    <mergeCell ref="C4:D4"/>
    <mergeCell ref="D33:D38"/>
    <mergeCell ref="N3:N5"/>
    <mergeCell ref="O3:O5"/>
    <mergeCell ref="F33:F38"/>
    <mergeCell ref="C3:D3"/>
    <mergeCell ref="E4:F4"/>
    <mergeCell ref="G4:H4"/>
  </mergeCells>
  <hyperlinks>
    <hyperlink ref="E6" location="NotaF1" display="NotaF1"/>
    <hyperlink ref="C8:D8" location="AlmacenNotaB1" display="AlmacenNotaB1"/>
    <hyperlink ref="C15:D15" location="AlmacenNotaA" display="AlmacenNotaA"/>
    <hyperlink ref="C22:D22" location="AlmacenNotaB1" display="AlmacenNotaB1"/>
    <hyperlink ref="C32:C38" location="AlmacenNotaA" display="AlmacenNotaA"/>
    <hyperlink ref="C45:D45" location="AlmacenNotaB1" display="AlmacenNotaB1"/>
    <hyperlink ref="C48:D48" location="AlmacenNotaA" display="AlmacenNotaA"/>
    <hyperlink ref="C49:D49" location="AlmacenNotaB1" display="AlmacenNotaB1"/>
    <hyperlink ref="E6:F6" location="TransF1" display="TransF1"/>
    <hyperlink ref="E14:F14" location="TransD" display="TransD"/>
    <hyperlink ref="E15:F15" location="TransA" display="TransA"/>
    <hyperlink ref="E22:F22" location="TransF2" display="TransF2"/>
    <hyperlink ref="E28:F30" location="TransE" display="TransE"/>
    <hyperlink ref="D32:D38" location="AlmacenNotaA" display="AlmacenNotaA"/>
    <hyperlink ref="E32:F38" location="TransA" display="TransA"/>
    <hyperlink ref="E40:F40" location="TransB1" display="TransB1"/>
    <hyperlink ref="E41:F46" location="TransB2" display="TransB2"/>
    <hyperlink ref="E48:F48" location="TransA" display="TransA"/>
    <hyperlink ref="D10" location="AlmacenNotaB1" display="AlmacenNotaB1"/>
    <hyperlink ref="D6" location="AlmacenNotaB1" display="AlmacenNotaB1"/>
    <hyperlink ref="C6" location="AlmacenNotaB1" display="AlmacenNotaB1"/>
  </hyperlinks>
  <pageMargins left="3.937007874015748E-2" right="3.937007874015748E-2" top="0" bottom="0" header="0" footer="0"/>
  <pageSetup paperSize="9" orientation="landscape" r:id="rId1"/>
  <ignoredErrors>
    <ignoredError sqref="O26 O31 O39 K13 D52 F52 H52 J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Normal="100" zoomScalePageLayoutView="110" workbookViewId="0">
      <selection activeCell="U32" sqref="U32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10.5703125" customWidth="1"/>
    <col min="4" max="15" width="8.7109375" customWidth="1"/>
  </cols>
  <sheetData>
    <row r="1" spans="1:22" x14ac:dyDescent="0.25">
      <c r="A1" s="13" t="s">
        <v>294</v>
      </c>
    </row>
    <row r="2" spans="1:22" x14ac:dyDescent="0.25">
      <c r="A2" s="180"/>
      <c r="B2" s="150" t="s">
        <v>224</v>
      </c>
    </row>
    <row r="3" spans="1:22" ht="15" customHeight="1" x14ac:dyDescent="0.25">
      <c r="C3" s="466" t="s">
        <v>218</v>
      </c>
      <c r="D3" s="478" t="s">
        <v>260</v>
      </c>
      <c r="E3" s="479"/>
      <c r="F3" s="479"/>
      <c r="G3" s="479"/>
      <c r="H3" s="479"/>
      <c r="I3" s="480"/>
      <c r="J3" s="478" t="s">
        <v>261</v>
      </c>
      <c r="K3" s="479"/>
      <c r="L3" s="479"/>
      <c r="M3" s="479"/>
      <c r="N3" s="479"/>
      <c r="O3" s="480"/>
      <c r="P3" s="171"/>
      <c r="Q3" s="171"/>
      <c r="R3" s="171"/>
      <c r="S3" s="171"/>
      <c r="T3" s="171"/>
      <c r="U3" s="171"/>
      <c r="V3" s="171"/>
    </row>
    <row r="4" spans="1:22" ht="15" customHeight="1" x14ac:dyDescent="0.25">
      <c r="C4" s="468"/>
      <c r="D4" s="486" t="s">
        <v>39</v>
      </c>
      <c r="E4" s="484"/>
      <c r="F4" s="485"/>
      <c r="G4" s="484" t="s">
        <v>38</v>
      </c>
      <c r="H4" s="484"/>
      <c r="I4" s="485"/>
      <c r="J4" s="486" t="s">
        <v>40</v>
      </c>
      <c r="K4" s="484"/>
      <c r="L4" s="485"/>
      <c r="M4" s="484" t="s">
        <v>44</v>
      </c>
      <c r="N4" s="484"/>
      <c r="O4" s="485"/>
      <c r="P4" s="171"/>
      <c r="Q4" s="171"/>
      <c r="R4" s="171"/>
      <c r="S4" s="171"/>
      <c r="T4" s="171"/>
      <c r="U4" s="171"/>
      <c r="V4" s="171"/>
    </row>
    <row r="5" spans="1:22" ht="15.75" x14ac:dyDescent="0.25">
      <c r="A5" s="4" t="s">
        <v>37</v>
      </c>
      <c r="C5" s="203"/>
      <c r="D5" s="203" t="s">
        <v>89</v>
      </c>
      <c r="E5" s="206" t="s">
        <v>196</v>
      </c>
      <c r="F5" s="205" t="s">
        <v>195</v>
      </c>
      <c r="G5" s="206" t="s">
        <v>89</v>
      </c>
      <c r="H5" s="206" t="s">
        <v>196</v>
      </c>
      <c r="I5" s="205" t="s">
        <v>195</v>
      </c>
      <c r="J5" s="203" t="s">
        <v>89</v>
      </c>
      <c r="K5" s="206" t="s">
        <v>196</v>
      </c>
      <c r="L5" s="205" t="s">
        <v>195</v>
      </c>
      <c r="M5" s="206" t="s">
        <v>89</v>
      </c>
      <c r="N5" s="206" t="s">
        <v>196</v>
      </c>
      <c r="O5" s="205" t="s">
        <v>195</v>
      </c>
      <c r="P5" s="171"/>
      <c r="Q5" s="171"/>
      <c r="R5" s="171"/>
      <c r="S5" s="171"/>
      <c r="T5" s="171"/>
      <c r="U5" s="171"/>
      <c r="V5" s="171"/>
    </row>
    <row r="6" spans="1:22" ht="15.75" customHeight="1" x14ac:dyDescent="0.25">
      <c r="A6" s="388" t="s">
        <v>21</v>
      </c>
      <c r="B6" s="18" t="s">
        <v>6</v>
      </c>
      <c r="C6" s="163">
        <f>'Estimación y Asignacion Costes'!K6</f>
        <v>38829.5</v>
      </c>
      <c r="D6" s="28">
        <f>'Estimación y Asignacion Costes'!C6</f>
        <v>1250</v>
      </c>
      <c r="E6" s="178">
        <v>1000</v>
      </c>
      <c r="F6" s="130">
        <f>D6-E6</f>
        <v>250</v>
      </c>
      <c r="G6" s="173">
        <f>'Estimación y Asignacion Costes'!E6</f>
        <v>36079.5</v>
      </c>
      <c r="H6" s="178">
        <v>1250</v>
      </c>
      <c r="I6" s="130">
        <f>G6-H6</f>
        <v>34829.5</v>
      </c>
      <c r="J6" s="28">
        <f>'Estimación y Asignacion Costes'!G6</f>
        <v>1500</v>
      </c>
      <c r="K6" s="178">
        <v>1500</v>
      </c>
      <c r="L6" s="130">
        <f>J6-K6</f>
        <v>0</v>
      </c>
      <c r="M6" s="28">
        <f>'Estimación y Asignacion Costes'!I6</f>
        <v>0</v>
      </c>
      <c r="N6" s="178">
        <v>0</v>
      </c>
      <c r="O6" s="130">
        <f>M6-N6</f>
        <v>0</v>
      </c>
      <c r="P6" s="171"/>
      <c r="Q6" s="171"/>
      <c r="R6" s="171"/>
      <c r="S6" s="171"/>
      <c r="T6" s="171"/>
      <c r="U6" s="171"/>
      <c r="V6" s="171"/>
    </row>
    <row r="7" spans="1:22" x14ac:dyDescent="0.25">
      <c r="A7" s="389"/>
      <c r="B7" s="19" t="s">
        <v>1</v>
      </c>
      <c r="C7" s="164">
        <f>'Estimación y Asignacion Costes'!K7</f>
        <v>4375</v>
      </c>
      <c r="D7" s="28">
        <f>'Estimación y Asignacion Costes'!C7</f>
        <v>0</v>
      </c>
      <c r="E7" s="178">
        <v>0</v>
      </c>
      <c r="F7" s="130">
        <f t="shared" ref="F7:F12" si="0">D7-E7</f>
        <v>0</v>
      </c>
      <c r="G7" s="173">
        <f>'Estimación y Asignacion Costes'!E7</f>
        <v>4375</v>
      </c>
      <c r="H7" s="178">
        <v>825</v>
      </c>
      <c r="I7" s="175">
        <f t="shared" ref="I7:I12" si="1">G7-H7</f>
        <v>3550</v>
      </c>
      <c r="J7" s="28">
        <f>'Estimación y Asignacion Costes'!G7</f>
        <v>0</v>
      </c>
      <c r="K7" s="178">
        <v>0</v>
      </c>
      <c r="L7" s="175">
        <f t="shared" ref="L7:L12" si="2">J7-K7</f>
        <v>0</v>
      </c>
      <c r="M7" s="28">
        <f>'Estimación y Asignacion Costes'!I7</f>
        <v>0</v>
      </c>
      <c r="N7" s="178">
        <v>0</v>
      </c>
      <c r="O7" s="175">
        <f t="shared" ref="O7:O12" si="3">M7-N7</f>
        <v>0</v>
      </c>
      <c r="P7" s="171"/>
      <c r="Q7" s="171"/>
      <c r="R7" s="171"/>
      <c r="S7" s="171"/>
      <c r="T7" s="171"/>
      <c r="U7" s="171"/>
      <c r="V7" s="171"/>
    </row>
    <row r="8" spans="1:22" x14ac:dyDescent="0.25">
      <c r="A8" s="389"/>
      <c r="B8" s="19" t="s">
        <v>2</v>
      </c>
      <c r="C8" s="164">
        <f>'Estimación y Asignacion Costes'!K8</f>
        <v>12472</v>
      </c>
      <c r="D8" s="28">
        <f>'Estimación y Asignacion Costes'!C8</f>
        <v>300</v>
      </c>
      <c r="E8" s="178">
        <v>50</v>
      </c>
      <c r="F8" s="130">
        <f t="shared" si="0"/>
        <v>250</v>
      </c>
      <c r="G8" s="173">
        <f>'Estimación y Asignacion Costes'!E8</f>
        <v>12172</v>
      </c>
      <c r="H8" s="178">
        <v>550</v>
      </c>
      <c r="I8" s="175">
        <f t="shared" si="1"/>
        <v>11622</v>
      </c>
      <c r="J8" s="28">
        <f>'Estimación y Asignacion Costes'!G8</f>
        <v>0</v>
      </c>
      <c r="K8" s="178"/>
      <c r="L8" s="175">
        <f t="shared" si="2"/>
        <v>0</v>
      </c>
      <c r="M8" s="28">
        <f>'Estimación y Asignacion Costes'!I8</f>
        <v>0</v>
      </c>
      <c r="N8" s="178"/>
      <c r="O8" s="175">
        <f t="shared" si="3"/>
        <v>0</v>
      </c>
      <c r="P8" s="171"/>
      <c r="Q8" s="171"/>
      <c r="R8" s="171"/>
      <c r="S8" s="171"/>
      <c r="T8" s="171"/>
      <c r="U8" s="171"/>
      <c r="V8" s="171"/>
    </row>
    <row r="9" spans="1:22" x14ac:dyDescent="0.25">
      <c r="A9" s="389"/>
      <c r="B9" s="19" t="s">
        <v>0</v>
      </c>
      <c r="C9" s="164">
        <f>'Estimación y Asignacion Costes'!K9</f>
        <v>7100</v>
      </c>
      <c r="D9" s="28">
        <f>'Estimación y Asignacion Costes'!C9</f>
        <v>450</v>
      </c>
      <c r="E9" s="178">
        <v>125</v>
      </c>
      <c r="F9" s="130">
        <f t="shared" si="0"/>
        <v>325</v>
      </c>
      <c r="G9" s="173">
        <f>'Estimación y Asignacion Costes'!E9</f>
        <v>600</v>
      </c>
      <c r="H9" s="178">
        <v>250</v>
      </c>
      <c r="I9" s="175">
        <f t="shared" si="1"/>
        <v>350</v>
      </c>
      <c r="J9" s="28">
        <f>'Estimación y Asignacion Costes'!G9</f>
        <v>5500</v>
      </c>
      <c r="K9" s="178">
        <v>5500</v>
      </c>
      <c r="L9" s="175">
        <f t="shared" si="2"/>
        <v>0</v>
      </c>
      <c r="M9" s="28">
        <f>'Estimación y Asignacion Costes'!I9</f>
        <v>550</v>
      </c>
      <c r="N9" s="178">
        <v>550</v>
      </c>
      <c r="O9" s="175">
        <f t="shared" si="3"/>
        <v>0</v>
      </c>
      <c r="P9" s="171"/>
      <c r="Q9" s="171"/>
      <c r="R9" s="171"/>
      <c r="S9" s="171"/>
      <c r="T9" s="171"/>
      <c r="U9" s="171"/>
      <c r="V9" s="171"/>
    </row>
    <row r="10" spans="1:22" x14ac:dyDescent="0.25">
      <c r="A10" s="389"/>
      <c r="B10" s="19" t="s">
        <v>5</v>
      </c>
      <c r="C10" s="165">
        <f>'Estimación y Asignacion Costes'!K10</f>
        <v>39250.350000000006</v>
      </c>
      <c r="D10" s="28">
        <f>'Estimación y Asignacion Costes'!C10</f>
        <v>37000.350000000006</v>
      </c>
      <c r="E10" s="178">
        <v>0</v>
      </c>
      <c r="F10" s="130">
        <f t="shared" si="0"/>
        <v>37000.350000000006</v>
      </c>
      <c r="G10" s="173">
        <f>'Estimación y Asignacion Costes'!E10</f>
        <v>300</v>
      </c>
      <c r="H10" s="178">
        <v>300</v>
      </c>
      <c r="I10" s="175">
        <f t="shared" si="1"/>
        <v>0</v>
      </c>
      <c r="J10" s="28">
        <f>'Estimación y Asignacion Costes'!G10</f>
        <v>100</v>
      </c>
      <c r="K10" s="178">
        <v>100</v>
      </c>
      <c r="L10" s="175">
        <f t="shared" si="2"/>
        <v>0</v>
      </c>
      <c r="M10" s="28">
        <f>'Estimación y Asignacion Costes'!I10</f>
        <v>1850</v>
      </c>
      <c r="N10" s="178">
        <v>1850</v>
      </c>
      <c r="O10" s="175">
        <f t="shared" si="3"/>
        <v>0</v>
      </c>
      <c r="P10" s="171"/>
      <c r="Q10" s="171"/>
      <c r="R10" s="171"/>
      <c r="S10" s="171"/>
      <c r="T10" s="171"/>
      <c r="U10" s="171"/>
      <c r="V10" s="171"/>
    </row>
    <row r="11" spans="1:22" x14ac:dyDescent="0.25">
      <c r="A11" s="389"/>
      <c r="B11" s="19" t="s">
        <v>27</v>
      </c>
      <c r="C11" s="166">
        <f>'Estimación y Asignacion Costes'!K11</f>
        <v>-2175</v>
      </c>
      <c r="D11" s="31">
        <f>'Estimación y Asignacion Costes'!C11</f>
        <v>-125</v>
      </c>
      <c r="E11" s="179">
        <v>-125</v>
      </c>
      <c r="F11" s="130">
        <f t="shared" si="0"/>
        <v>0</v>
      </c>
      <c r="G11" s="170">
        <f>'Estimación y Asignacion Costes'!E11</f>
        <v>-1500</v>
      </c>
      <c r="H11" s="179">
        <v>-1500</v>
      </c>
      <c r="I11" s="175">
        <f t="shared" si="1"/>
        <v>0</v>
      </c>
      <c r="J11" s="31">
        <f>'Estimación y Asignacion Costes'!G11</f>
        <v>-350</v>
      </c>
      <c r="K11" s="179">
        <v>-350</v>
      </c>
      <c r="L11" s="175">
        <f t="shared" si="2"/>
        <v>0</v>
      </c>
      <c r="M11" s="31">
        <f>'Estimación y Asignacion Costes'!I11</f>
        <v>-200</v>
      </c>
      <c r="N11" s="179">
        <v>-200</v>
      </c>
      <c r="O11" s="175">
        <f t="shared" si="3"/>
        <v>0</v>
      </c>
      <c r="P11" s="171"/>
      <c r="Q11" s="171"/>
      <c r="R11" s="171"/>
      <c r="S11" s="171"/>
      <c r="T11" s="171"/>
      <c r="U11" s="171"/>
      <c r="V11" s="171"/>
    </row>
    <row r="12" spans="1:22" x14ac:dyDescent="0.25">
      <c r="A12" s="389"/>
      <c r="B12" s="19" t="s">
        <v>28</v>
      </c>
      <c r="C12" s="166">
        <f>'Estimación y Asignacion Costes'!K12</f>
        <v>-1150</v>
      </c>
      <c r="D12" s="31">
        <f>'Estimación y Asignacion Costes'!C12</f>
        <v>-50</v>
      </c>
      <c r="E12" s="179">
        <v>-50</v>
      </c>
      <c r="F12" s="130">
        <f t="shared" si="0"/>
        <v>0</v>
      </c>
      <c r="G12" s="170">
        <f>'Estimación y Asignacion Costes'!E12</f>
        <v>-500</v>
      </c>
      <c r="H12" s="179">
        <v>-500</v>
      </c>
      <c r="I12" s="175">
        <f t="shared" si="1"/>
        <v>0</v>
      </c>
      <c r="J12" s="31">
        <f>'Estimación y Asignacion Costes'!G12</f>
        <v>-400</v>
      </c>
      <c r="K12" s="179">
        <v>-400</v>
      </c>
      <c r="L12" s="175">
        <f t="shared" si="2"/>
        <v>0</v>
      </c>
      <c r="M12" s="31">
        <f>'Estimación y Asignacion Costes'!I12</f>
        <v>-200</v>
      </c>
      <c r="N12" s="179">
        <v>-200</v>
      </c>
      <c r="O12" s="175">
        <f t="shared" si="3"/>
        <v>0</v>
      </c>
      <c r="P12" s="171"/>
      <c r="Q12" s="171"/>
      <c r="R12" s="171"/>
      <c r="S12" s="171"/>
      <c r="T12" s="171"/>
      <c r="U12" s="171"/>
      <c r="V12" s="171"/>
    </row>
    <row r="13" spans="1:22" ht="15" customHeight="1" x14ac:dyDescent="0.25">
      <c r="A13" s="390"/>
      <c r="B13" s="8"/>
      <c r="C13" s="167">
        <f>SUM(C6:C12)</f>
        <v>98701.85</v>
      </c>
      <c r="D13" s="131">
        <f>SUM(D6:D12)</f>
        <v>38825.350000000006</v>
      </c>
      <c r="E13" s="172">
        <f>SUM(E6:E12)</f>
        <v>1000</v>
      </c>
      <c r="F13" s="132">
        <f>SUM(F6:F12)</f>
        <v>37825.350000000006</v>
      </c>
      <c r="G13" s="174">
        <f t="shared" ref="G13:O13" si="4">SUM(G6:G12)</f>
        <v>51526.5</v>
      </c>
      <c r="H13" s="172">
        <f t="shared" si="4"/>
        <v>1175</v>
      </c>
      <c r="I13" s="132">
        <f t="shared" si="4"/>
        <v>50351.5</v>
      </c>
      <c r="J13" s="131">
        <f t="shared" si="4"/>
        <v>6350</v>
      </c>
      <c r="K13" s="172">
        <f t="shared" si="4"/>
        <v>6350</v>
      </c>
      <c r="L13" s="132">
        <f t="shared" si="4"/>
        <v>0</v>
      </c>
      <c r="M13" s="131">
        <f t="shared" si="4"/>
        <v>2000</v>
      </c>
      <c r="N13" s="172">
        <f t="shared" si="4"/>
        <v>2000</v>
      </c>
      <c r="O13" s="132">
        <f t="shared" si="4"/>
        <v>0</v>
      </c>
      <c r="P13" s="171"/>
      <c r="Q13" s="171"/>
      <c r="R13" s="171"/>
      <c r="S13" s="171"/>
      <c r="T13" s="171"/>
      <c r="U13" s="171"/>
      <c r="V13" s="171"/>
    </row>
    <row r="14" spans="1:22" ht="15" customHeight="1" x14ac:dyDescent="0.25">
      <c r="A14" s="388" t="s">
        <v>22</v>
      </c>
      <c r="B14" s="18" t="s">
        <v>68</v>
      </c>
      <c r="C14" s="163">
        <f>'Estimación y Asignacion Costes'!K14</f>
        <v>13286</v>
      </c>
      <c r="D14" s="135">
        <f>'Estimación y Asignacion Costes'!C14</f>
        <v>600</v>
      </c>
      <c r="E14" s="177">
        <v>600</v>
      </c>
      <c r="F14" s="176">
        <f>D14-E14</f>
        <v>0</v>
      </c>
      <c r="G14" s="135">
        <f>'Estimación y Asignacion Costes'!E14</f>
        <v>11486</v>
      </c>
      <c r="H14" s="177">
        <v>11486</v>
      </c>
      <c r="I14" s="176">
        <f>G14-H14</f>
        <v>0</v>
      </c>
      <c r="J14" s="135">
        <f>'Estimación y Asignacion Costes'!G14</f>
        <v>800</v>
      </c>
      <c r="K14" s="177">
        <v>800</v>
      </c>
      <c r="L14" s="176">
        <f>J14-K14</f>
        <v>0</v>
      </c>
      <c r="M14" s="135">
        <f>'Estimación y Asignacion Costes'!I14</f>
        <v>400</v>
      </c>
      <c r="N14" s="177">
        <v>400</v>
      </c>
      <c r="O14" s="176">
        <f>M14-N14</f>
        <v>0</v>
      </c>
      <c r="P14" s="171"/>
      <c r="Q14" s="171"/>
      <c r="R14" s="171"/>
      <c r="S14" s="171"/>
      <c r="T14" s="171"/>
      <c r="U14" s="171"/>
      <c r="V14" s="171"/>
    </row>
    <row r="15" spans="1:22" x14ac:dyDescent="0.25">
      <c r="A15" s="389"/>
      <c r="B15" s="19" t="s">
        <v>80</v>
      </c>
      <c r="C15" s="165">
        <f>'Estimación y Asignacion Costes'!K15</f>
        <v>4900</v>
      </c>
      <c r="D15" s="28">
        <f>'Estimación y Asignacion Costes'!C15</f>
        <v>1500</v>
      </c>
      <c r="E15" s="178">
        <v>1500</v>
      </c>
      <c r="F15" s="175">
        <f t="shared" ref="F15:F25" si="5">D15-E15</f>
        <v>0</v>
      </c>
      <c r="G15" s="28">
        <f>'Estimación y Asignacion Costes'!E15</f>
        <v>2000</v>
      </c>
      <c r="H15" s="178">
        <v>2000</v>
      </c>
      <c r="I15" s="175">
        <f t="shared" ref="I15:I25" si="6">G15-H15</f>
        <v>0</v>
      </c>
      <c r="J15" s="28">
        <f>'Estimación y Asignacion Costes'!G15</f>
        <v>1100</v>
      </c>
      <c r="K15" s="178">
        <v>1100</v>
      </c>
      <c r="L15" s="175">
        <f t="shared" ref="L15:L25" si="7">J15-K15</f>
        <v>0</v>
      </c>
      <c r="M15" s="28">
        <f>'Estimación y Asignacion Costes'!I15</f>
        <v>300</v>
      </c>
      <c r="N15" s="178">
        <v>300</v>
      </c>
      <c r="O15" s="175">
        <f t="shared" ref="O15:O25" si="8">M15-N15</f>
        <v>0</v>
      </c>
      <c r="P15" s="171"/>
      <c r="Q15" s="171"/>
      <c r="R15" s="171"/>
      <c r="S15" s="171"/>
      <c r="T15" s="171"/>
      <c r="U15" s="171"/>
      <c r="V15" s="171"/>
    </row>
    <row r="16" spans="1:22" x14ac:dyDescent="0.25">
      <c r="A16" s="389"/>
      <c r="B16" s="19" t="s">
        <v>69</v>
      </c>
      <c r="C16" s="165">
        <f>'Estimación y Asignacion Costes'!K16</f>
        <v>1250</v>
      </c>
      <c r="D16" s="28">
        <f>'Estimación y Asignacion Costes'!C16</f>
        <v>0</v>
      </c>
      <c r="E16" s="178">
        <v>0</v>
      </c>
      <c r="F16" s="175">
        <f t="shared" si="5"/>
        <v>0</v>
      </c>
      <c r="G16" s="28">
        <f>'Estimación y Asignacion Costes'!E16</f>
        <v>0</v>
      </c>
      <c r="H16" s="178">
        <v>0</v>
      </c>
      <c r="I16" s="175">
        <f t="shared" si="6"/>
        <v>0</v>
      </c>
      <c r="J16" s="28">
        <f>'Estimación y Asignacion Costes'!G16</f>
        <v>1250</v>
      </c>
      <c r="K16" s="178">
        <v>1250</v>
      </c>
      <c r="L16" s="175">
        <f t="shared" si="7"/>
        <v>0</v>
      </c>
      <c r="M16" s="28">
        <f>'Estimación y Asignacion Costes'!I16</f>
        <v>0</v>
      </c>
      <c r="N16" s="178">
        <v>0</v>
      </c>
      <c r="O16" s="175">
        <f t="shared" si="8"/>
        <v>0</v>
      </c>
      <c r="P16" s="171"/>
      <c r="Q16" s="171"/>
      <c r="R16" s="171"/>
      <c r="S16" s="171"/>
      <c r="T16" s="171"/>
      <c r="U16" s="171"/>
      <c r="V16" s="171"/>
    </row>
    <row r="17" spans="1:22" ht="15" customHeight="1" x14ac:dyDescent="0.25">
      <c r="A17" s="389"/>
      <c r="B17" s="19" t="s">
        <v>26</v>
      </c>
      <c r="C17" s="165">
        <f>'Estimación y Asignacion Costes'!K17</f>
        <v>2050</v>
      </c>
      <c r="D17" s="28">
        <f>'Estimación y Asignacion Costes'!C17</f>
        <v>600</v>
      </c>
      <c r="E17" s="178">
        <v>600</v>
      </c>
      <c r="F17" s="175">
        <f t="shared" si="5"/>
        <v>0</v>
      </c>
      <c r="G17" s="28">
        <f>'Estimación y Asignacion Costes'!E17</f>
        <v>950</v>
      </c>
      <c r="H17" s="178">
        <v>500</v>
      </c>
      <c r="I17" s="175">
        <f t="shared" si="6"/>
        <v>450</v>
      </c>
      <c r="J17" s="28">
        <f>'Estimación y Asignacion Costes'!G17</f>
        <v>400</v>
      </c>
      <c r="K17" s="178">
        <v>400</v>
      </c>
      <c r="L17" s="175">
        <f t="shared" si="7"/>
        <v>0</v>
      </c>
      <c r="M17" s="28">
        <f>'Estimación y Asignacion Costes'!I17</f>
        <v>100</v>
      </c>
      <c r="N17" s="178">
        <v>100</v>
      </c>
      <c r="O17" s="175">
        <f t="shared" si="8"/>
        <v>0</v>
      </c>
      <c r="P17" s="171"/>
      <c r="Q17" s="171"/>
      <c r="R17" s="171"/>
      <c r="S17" s="171"/>
      <c r="T17" s="171"/>
      <c r="U17" s="171"/>
      <c r="V17" s="171"/>
    </row>
    <row r="18" spans="1:22" x14ac:dyDescent="0.25">
      <c r="A18" s="389"/>
      <c r="B18" s="19" t="s">
        <v>8</v>
      </c>
      <c r="C18" s="165">
        <f>'Estimación y Asignacion Costes'!K18</f>
        <v>700</v>
      </c>
      <c r="D18" s="28">
        <f>'Estimación y Asignacion Costes'!C18</f>
        <v>250</v>
      </c>
      <c r="E18" s="178">
        <v>250</v>
      </c>
      <c r="F18" s="175">
        <f t="shared" si="5"/>
        <v>0</v>
      </c>
      <c r="G18" s="28">
        <f>'Estimación y Asignacion Costes'!E18</f>
        <v>300</v>
      </c>
      <c r="H18" s="178">
        <v>300</v>
      </c>
      <c r="I18" s="175">
        <f t="shared" si="6"/>
        <v>0</v>
      </c>
      <c r="J18" s="28">
        <f>'Estimación y Asignacion Costes'!G18</f>
        <v>100</v>
      </c>
      <c r="K18" s="178">
        <v>100</v>
      </c>
      <c r="L18" s="175">
        <f t="shared" si="7"/>
        <v>0</v>
      </c>
      <c r="M18" s="28">
        <f>'Estimación y Asignacion Costes'!I18</f>
        <v>50</v>
      </c>
      <c r="N18" s="178">
        <v>50</v>
      </c>
      <c r="O18" s="175">
        <f t="shared" si="8"/>
        <v>0</v>
      </c>
      <c r="P18" s="171"/>
      <c r="Q18" s="171"/>
      <c r="R18" s="171"/>
      <c r="S18" s="171"/>
      <c r="T18" s="171"/>
      <c r="U18" s="171"/>
      <c r="V18" s="171"/>
    </row>
    <row r="19" spans="1:22" x14ac:dyDescent="0.25">
      <c r="A19" s="389"/>
      <c r="B19" s="19" t="s">
        <v>14</v>
      </c>
      <c r="C19" s="165">
        <f>'Estimación y Asignacion Costes'!K19</f>
        <v>2625</v>
      </c>
      <c r="D19" s="28">
        <f>'Estimación y Asignacion Costes'!C19</f>
        <v>500</v>
      </c>
      <c r="E19" s="178">
        <v>500</v>
      </c>
      <c r="F19" s="175">
        <f t="shared" si="5"/>
        <v>0</v>
      </c>
      <c r="G19" s="28">
        <f>'Estimación y Asignacion Costes'!E19</f>
        <v>800</v>
      </c>
      <c r="H19" s="178">
        <v>800</v>
      </c>
      <c r="I19" s="175">
        <f t="shared" si="6"/>
        <v>0</v>
      </c>
      <c r="J19" s="28">
        <f>'Estimación y Asignacion Costes'!G19</f>
        <v>1200</v>
      </c>
      <c r="K19" s="178">
        <v>1200</v>
      </c>
      <c r="L19" s="175">
        <f t="shared" si="7"/>
        <v>0</v>
      </c>
      <c r="M19" s="28">
        <f>'Estimación y Asignacion Costes'!I19</f>
        <v>125</v>
      </c>
      <c r="N19" s="178">
        <v>125</v>
      </c>
      <c r="O19" s="175">
        <f t="shared" si="8"/>
        <v>0</v>
      </c>
      <c r="P19" s="171"/>
      <c r="Q19" s="171"/>
      <c r="R19" s="171"/>
      <c r="S19" s="171"/>
      <c r="T19" s="171"/>
      <c r="U19" s="171"/>
      <c r="V19" s="171"/>
    </row>
    <row r="20" spans="1:22" x14ac:dyDescent="0.25">
      <c r="A20" s="389"/>
      <c r="B20" s="19" t="s">
        <v>10</v>
      </c>
      <c r="C20" s="165">
        <f>'Estimación y Asignacion Costes'!K20</f>
        <v>4850</v>
      </c>
      <c r="D20" s="28">
        <f>'Estimación y Asignacion Costes'!C20</f>
        <v>0</v>
      </c>
      <c r="E20" s="178">
        <v>0</v>
      </c>
      <c r="F20" s="175">
        <f t="shared" si="5"/>
        <v>0</v>
      </c>
      <c r="G20" s="28">
        <f>'Estimación y Asignacion Costes'!E20</f>
        <v>4200</v>
      </c>
      <c r="H20" s="178">
        <v>4200</v>
      </c>
      <c r="I20" s="175">
        <f t="shared" si="6"/>
        <v>0</v>
      </c>
      <c r="J20" s="28">
        <f>'Estimación y Asignacion Costes'!G20</f>
        <v>500</v>
      </c>
      <c r="K20" s="178">
        <v>500</v>
      </c>
      <c r="L20" s="175">
        <f t="shared" si="7"/>
        <v>0</v>
      </c>
      <c r="M20" s="28">
        <f>'Estimación y Asignacion Costes'!I20</f>
        <v>150</v>
      </c>
      <c r="N20" s="178">
        <v>150</v>
      </c>
      <c r="O20" s="175">
        <f t="shared" si="8"/>
        <v>0</v>
      </c>
      <c r="P20" s="171"/>
      <c r="Q20" s="171"/>
      <c r="R20" s="171"/>
      <c r="S20" s="171"/>
      <c r="T20" s="171"/>
      <c r="U20" s="171"/>
      <c r="V20" s="171"/>
    </row>
    <row r="21" spans="1:22" x14ac:dyDescent="0.25">
      <c r="A21" s="389"/>
      <c r="B21" s="19" t="s">
        <v>70</v>
      </c>
      <c r="C21" s="165">
        <f>'Estimación y Asignacion Costes'!K21</f>
        <v>10000</v>
      </c>
      <c r="D21" s="28">
        <f>'Estimación y Asignacion Costes'!C21</f>
        <v>0</v>
      </c>
      <c r="E21" s="178">
        <v>0</v>
      </c>
      <c r="F21" s="175">
        <f t="shared" si="5"/>
        <v>0</v>
      </c>
      <c r="G21" s="28">
        <f>'Estimación y Asignacion Costes'!E21</f>
        <v>0</v>
      </c>
      <c r="H21" s="178">
        <v>0</v>
      </c>
      <c r="I21" s="175">
        <f t="shared" si="6"/>
        <v>0</v>
      </c>
      <c r="J21" s="28">
        <f>'Estimación y Asignacion Costes'!G21</f>
        <v>0</v>
      </c>
      <c r="K21" s="178">
        <v>0</v>
      </c>
      <c r="L21" s="175">
        <f t="shared" si="7"/>
        <v>0</v>
      </c>
      <c r="M21" s="28">
        <f>'Estimación y Asignacion Costes'!I21</f>
        <v>10000</v>
      </c>
      <c r="N21" s="178">
        <v>10000</v>
      </c>
      <c r="O21" s="175">
        <f t="shared" si="8"/>
        <v>0</v>
      </c>
      <c r="P21" s="171"/>
      <c r="Q21" s="171"/>
      <c r="R21" s="171"/>
      <c r="S21" s="171"/>
      <c r="T21" s="171"/>
      <c r="U21" s="171"/>
      <c r="V21" s="171"/>
    </row>
    <row r="22" spans="1:22" x14ac:dyDescent="0.25">
      <c r="A22" s="389"/>
      <c r="B22" s="19" t="s">
        <v>71</v>
      </c>
      <c r="C22" s="165">
        <f>'Estimación y Asignacion Costes'!K22</f>
        <v>5714</v>
      </c>
      <c r="D22" s="28">
        <f>'Estimación y Asignacion Costes'!C22</f>
        <v>500</v>
      </c>
      <c r="E22" s="178">
        <v>150</v>
      </c>
      <c r="F22" s="175">
        <f t="shared" si="5"/>
        <v>350</v>
      </c>
      <c r="G22" s="28">
        <f>'Estimación y Asignacion Costes'!E22</f>
        <v>4414</v>
      </c>
      <c r="H22" s="178">
        <v>3200</v>
      </c>
      <c r="I22" s="175">
        <f t="shared" si="6"/>
        <v>1214</v>
      </c>
      <c r="J22" s="28">
        <f>'Estimación y Asignacion Costes'!G22</f>
        <v>450</v>
      </c>
      <c r="K22" s="178">
        <v>450</v>
      </c>
      <c r="L22" s="175">
        <f t="shared" si="7"/>
        <v>0</v>
      </c>
      <c r="M22" s="28">
        <f>'Estimación y Asignacion Costes'!I22</f>
        <v>350</v>
      </c>
      <c r="N22" s="178">
        <v>350</v>
      </c>
      <c r="O22" s="175">
        <f t="shared" si="8"/>
        <v>0</v>
      </c>
      <c r="P22" s="171"/>
      <c r="Q22" s="171"/>
      <c r="R22" s="171"/>
      <c r="S22" s="171"/>
      <c r="T22" s="171"/>
      <c r="U22" s="171"/>
      <c r="V22" s="171"/>
    </row>
    <row r="23" spans="1:22" x14ac:dyDescent="0.25">
      <c r="A23" s="389"/>
      <c r="B23" s="19" t="s">
        <v>23</v>
      </c>
      <c r="C23" s="165">
        <f>'Estimación y Asignacion Costes'!K23</f>
        <v>3550</v>
      </c>
      <c r="D23" s="28">
        <f>'Estimación y Asignacion Costes'!C23</f>
        <v>350</v>
      </c>
      <c r="E23" s="178">
        <v>250</v>
      </c>
      <c r="F23" s="175">
        <f t="shared" si="5"/>
        <v>100</v>
      </c>
      <c r="G23" s="28">
        <f>'Estimación y Asignacion Costes'!E23</f>
        <v>580</v>
      </c>
      <c r="H23" s="178">
        <v>0</v>
      </c>
      <c r="I23" s="175">
        <f t="shared" si="6"/>
        <v>580</v>
      </c>
      <c r="J23" s="28">
        <f>'Estimación y Asignacion Costes'!G23</f>
        <v>2200</v>
      </c>
      <c r="K23" s="178">
        <v>1500</v>
      </c>
      <c r="L23" s="175">
        <f t="shared" si="7"/>
        <v>700</v>
      </c>
      <c r="M23" s="28">
        <f>'Estimación y Asignacion Costes'!I23</f>
        <v>420</v>
      </c>
      <c r="N23" s="178">
        <v>420</v>
      </c>
      <c r="O23" s="175">
        <f t="shared" si="8"/>
        <v>0</v>
      </c>
      <c r="P23" s="171"/>
      <c r="Q23" s="171"/>
      <c r="R23" s="171"/>
      <c r="S23" s="171"/>
      <c r="T23" s="171"/>
      <c r="U23" s="171"/>
      <c r="V23" s="171"/>
    </row>
    <row r="24" spans="1:22" x14ac:dyDescent="0.25">
      <c r="A24" s="389"/>
      <c r="B24" s="19" t="s">
        <v>29</v>
      </c>
      <c r="C24" s="165">
        <f>'Estimación y Asignacion Costes'!K24</f>
        <v>1575</v>
      </c>
      <c r="D24" s="28">
        <f>'Estimación y Asignacion Costes'!C24</f>
        <v>450</v>
      </c>
      <c r="E24" s="178">
        <v>450</v>
      </c>
      <c r="F24" s="175">
        <f t="shared" si="5"/>
        <v>0</v>
      </c>
      <c r="G24" s="28">
        <f>'Estimación y Asignacion Costes'!E24</f>
        <v>950</v>
      </c>
      <c r="H24" s="178">
        <v>950</v>
      </c>
      <c r="I24" s="175">
        <f t="shared" si="6"/>
        <v>0</v>
      </c>
      <c r="J24" s="28">
        <f>'Estimación y Asignacion Costes'!G24</f>
        <v>150</v>
      </c>
      <c r="K24" s="178">
        <v>150</v>
      </c>
      <c r="L24" s="175">
        <f t="shared" si="7"/>
        <v>0</v>
      </c>
      <c r="M24" s="28">
        <f>'Estimación y Asignacion Costes'!I24</f>
        <v>25</v>
      </c>
      <c r="N24" s="178">
        <v>25</v>
      </c>
      <c r="O24" s="175">
        <f t="shared" si="8"/>
        <v>0</v>
      </c>
      <c r="P24" s="171"/>
      <c r="Q24" s="171"/>
      <c r="R24" s="171"/>
      <c r="S24" s="171"/>
      <c r="T24" s="171"/>
      <c r="U24" s="171"/>
      <c r="V24" s="171"/>
    </row>
    <row r="25" spans="1:22" x14ac:dyDescent="0.25">
      <c r="A25" s="389"/>
      <c r="B25" s="19" t="s">
        <v>33</v>
      </c>
      <c r="C25" s="165">
        <f>'Estimación y Asignacion Costes'!K25</f>
        <v>0</v>
      </c>
      <c r="D25" s="28">
        <f>'Estimación y Asignacion Costes'!C25</f>
        <v>0</v>
      </c>
      <c r="E25" s="178">
        <v>0</v>
      </c>
      <c r="F25" s="175">
        <f t="shared" si="5"/>
        <v>0</v>
      </c>
      <c r="G25" s="28">
        <f>'Estimación y Asignacion Costes'!E25</f>
        <v>0</v>
      </c>
      <c r="H25" s="178">
        <v>0</v>
      </c>
      <c r="I25" s="175">
        <f t="shared" si="6"/>
        <v>0</v>
      </c>
      <c r="J25" s="28">
        <f>'Estimación y Asignacion Costes'!G25</f>
        <v>0</v>
      </c>
      <c r="K25" s="178">
        <v>0</v>
      </c>
      <c r="L25" s="175">
        <f t="shared" si="7"/>
        <v>0</v>
      </c>
      <c r="M25" s="28">
        <f>'Estimación y Asignacion Costes'!I25</f>
        <v>0</v>
      </c>
      <c r="N25" s="178">
        <v>0</v>
      </c>
      <c r="O25" s="175">
        <f t="shared" si="8"/>
        <v>0</v>
      </c>
      <c r="P25" s="171"/>
      <c r="Q25" s="171"/>
      <c r="R25" s="171"/>
      <c r="S25" s="171"/>
      <c r="T25" s="171"/>
      <c r="U25" s="171"/>
      <c r="V25" s="171"/>
    </row>
    <row r="26" spans="1:22" x14ac:dyDescent="0.25">
      <c r="A26" s="390"/>
      <c r="B26" s="8"/>
      <c r="C26" s="167">
        <f>SUM(C14:C25)</f>
        <v>50500</v>
      </c>
      <c r="D26" s="131">
        <f>SUM(D14:D25)</f>
        <v>4750</v>
      </c>
      <c r="E26" s="172">
        <f>SUM(E14:E25)</f>
        <v>4300</v>
      </c>
      <c r="F26" s="132">
        <f>SUM(F14:F25)</f>
        <v>450</v>
      </c>
      <c r="G26" s="131">
        <f t="shared" ref="G26:O26" si="9">SUM(G14:G25)</f>
        <v>25680</v>
      </c>
      <c r="H26" s="172">
        <f t="shared" si="9"/>
        <v>23436</v>
      </c>
      <c r="I26" s="132">
        <f t="shared" si="9"/>
        <v>2244</v>
      </c>
      <c r="J26" s="131">
        <f t="shared" si="9"/>
        <v>8150</v>
      </c>
      <c r="K26" s="172">
        <f t="shared" si="9"/>
        <v>7450</v>
      </c>
      <c r="L26" s="132">
        <f t="shared" si="9"/>
        <v>700</v>
      </c>
      <c r="M26" s="131">
        <f t="shared" si="9"/>
        <v>11920</v>
      </c>
      <c r="N26" s="172">
        <f t="shared" si="9"/>
        <v>11920</v>
      </c>
      <c r="O26" s="132">
        <f t="shared" si="9"/>
        <v>0</v>
      </c>
      <c r="P26" s="171"/>
      <c r="Q26" s="171"/>
      <c r="R26" s="171"/>
      <c r="S26" s="171"/>
      <c r="T26" s="171"/>
      <c r="U26" s="171"/>
      <c r="V26" s="171"/>
    </row>
    <row r="27" spans="1:22" ht="15" customHeight="1" x14ac:dyDescent="0.25">
      <c r="A27" s="385" t="s">
        <v>30</v>
      </c>
      <c r="B27" s="18" t="s">
        <v>72</v>
      </c>
      <c r="C27" s="168">
        <f>'Estimación y Asignacion Costes'!K27</f>
        <v>3050</v>
      </c>
      <c r="D27" s="135">
        <f>'Estimación y Asignacion Costes'!C27</f>
        <v>750</v>
      </c>
      <c r="E27" s="177">
        <v>750</v>
      </c>
      <c r="F27" s="176">
        <f>D27-E27</f>
        <v>0</v>
      </c>
      <c r="G27" s="135">
        <f>'Estimación y Asignacion Costes'!E27</f>
        <v>0</v>
      </c>
      <c r="H27" s="177">
        <v>0</v>
      </c>
      <c r="I27" s="176">
        <f>G27-H27</f>
        <v>0</v>
      </c>
      <c r="J27" s="135">
        <f>'Estimación y Asignacion Costes'!G27</f>
        <v>800</v>
      </c>
      <c r="K27" s="177">
        <v>800</v>
      </c>
      <c r="L27" s="176">
        <f>J27-K27</f>
        <v>0</v>
      </c>
      <c r="M27" s="135">
        <f>'Estimación y Asignacion Costes'!I27</f>
        <v>1500</v>
      </c>
      <c r="N27" s="177">
        <v>1500</v>
      </c>
      <c r="O27" s="176">
        <f>M27-N27</f>
        <v>0</v>
      </c>
      <c r="P27" s="171"/>
      <c r="Q27" s="171"/>
      <c r="R27" s="171"/>
      <c r="S27" s="171"/>
      <c r="T27" s="171"/>
      <c r="U27" s="171"/>
      <c r="V27" s="171"/>
    </row>
    <row r="28" spans="1:22" x14ac:dyDescent="0.25">
      <c r="A28" s="386"/>
      <c r="B28" s="19" t="s">
        <v>31</v>
      </c>
      <c r="C28" s="165">
        <f>'Estimación y Asignacion Costes'!K28</f>
        <v>2570</v>
      </c>
      <c r="D28" s="28">
        <f>'Estimación y Asignacion Costes'!C28</f>
        <v>750</v>
      </c>
      <c r="E28" s="178">
        <v>750</v>
      </c>
      <c r="F28" s="175">
        <f t="shared" ref="F28:F30" si="10">D28-E28</f>
        <v>0</v>
      </c>
      <c r="G28" s="28">
        <f>'Estimación y Asignacion Costes'!E28</f>
        <v>1200</v>
      </c>
      <c r="H28" s="178">
        <v>1200</v>
      </c>
      <c r="I28" s="175">
        <f t="shared" ref="I28:I30" si="11">G28-H28</f>
        <v>0</v>
      </c>
      <c r="J28" s="28">
        <f>'Estimación y Asignacion Costes'!G28</f>
        <v>0</v>
      </c>
      <c r="K28" s="178">
        <v>0</v>
      </c>
      <c r="L28" s="175">
        <f t="shared" ref="L28:L30" si="12">J28-K28</f>
        <v>0</v>
      </c>
      <c r="M28" s="28">
        <f>'Estimación y Asignacion Costes'!I28</f>
        <v>620</v>
      </c>
      <c r="N28" s="178">
        <v>620</v>
      </c>
      <c r="O28" s="175">
        <f t="shared" ref="O28:O30" si="13">M28-N28</f>
        <v>0</v>
      </c>
      <c r="P28" s="171"/>
      <c r="Q28" s="171"/>
      <c r="R28" s="171"/>
      <c r="S28" s="171"/>
      <c r="T28" s="171"/>
      <c r="U28" s="171"/>
      <c r="V28" s="171"/>
    </row>
    <row r="29" spans="1:22" x14ac:dyDescent="0.25">
      <c r="A29" s="386"/>
      <c r="B29" s="19" t="s">
        <v>32</v>
      </c>
      <c r="C29" s="165">
        <f>'Estimación y Asignacion Costes'!K29</f>
        <v>3541</v>
      </c>
      <c r="D29" s="28">
        <f>'Estimación y Asignacion Costes'!C29</f>
        <v>0</v>
      </c>
      <c r="E29" s="178">
        <v>0</v>
      </c>
      <c r="F29" s="175">
        <f t="shared" si="10"/>
        <v>0</v>
      </c>
      <c r="G29" s="28">
        <f>'Estimación y Asignacion Costes'!E29</f>
        <v>3091</v>
      </c>
      <c r="H29" s="178">
        <v>3091</v>
      </c>
      <c r="I29" s="175">
        <f t="shared" si="11"/>
        <v>0</v>
      </c>
      <c r="J29" s="28">
        <f>'Estimación y Asignacion Costes'!G29</f>
        <v>450</v>
      </c>
      <c r="K29" s="178">
        <v>450</v>
      </c>
      <c r="L29" s="175">
        <f t="shared" si="12"/>
        <v>0</v>
      </c>
      <c r="M29" s="28">
        <f>'Estimación y Asignacion Costes'!I29</f>
        <v>0</v>
      </c>
      <c r="N29" s="178">
        <v>0</v>
      </c>
      <c r="O29" s="175">
        <f t="shared" si="13"/>
        <v>0</v>
      </c>
      <c r="P29" s="171"/>
      <c r="Q29" s="171"/>
      <c r="R29" s="171"/>
      <c r="S29" s="171"/>
      <c r="T29" s="171"/>
      <c r="U29" s="171"/>
      <c r="V29" s="171"/>
    </row>
    <row r="30" spans="1:22" x14ac:dyDescent="0.25">
      <c r="A30" s="386"/>
      <c r="B30" s="19" t="s">
        <v>73</v>
      </c>
      <c r="C30" s="165">
        <f>'Estimación y Asignacion Costes'!K30</f>
        <v>1800</v>
      </c>
      <c r="D30" s="28">
        <f>'Estimación y Asignacion Costes'!C30</f>
        <v>0</v>
      </c>
      <c r="E30" s="178">
        <v>0</v>
      </c>
      <c r="F30" s="175">
        <f t="shared" si="10"/>
        <v>0</v>
      </c>
      <c r="G30" s="28">
        <f>'Estimación y Asignacion Costes'!E30</f>
        <v>300</v>
      </c>
      <c r="H30" s="178">
        <v>300</v>
      </c>
      <c r="I30" s="175">
        <f t="shared" si="11"/>
        <v>0</v>
      </c>
      <c r="J30" s="28">
        <f>'Estimación y Asignacion Costes'!G30</f>
        <v>0</v>
      </c>
      <c r="K30" s="178">
        <v>0</v>
      </c>
      <c r="L30" s="175">
        <f t="shared" si="12"/>
        <v>0</v>
      </c>
      <c r="M30" s="28">
        <f>'Estimación y Asignacion Costes'!I30</f>
        <v>1500</v>
      </c>
      <c r="N30" s="178">
        <v>1500</v>
      </c>
      <c r="O30" s="175">
        <f t="shared" si="13"/>
        <v>0</v>
      </c>
      <c r="P30" s="171"/>
      <c r="Q30" s="171"/>
      <c r="R30" s="171"/>
      <c r="S30" s="171"/>
      <c r="T30" s="171"/>
      <c r="U30" s="171"/>
      <c r="V30" s="171"/>
    </row>
    <row r="31" spans="1:22" x14ac:dyDescent="0.25">
      <c r="A31" s="387"/>
      <c r="B31" s="8"/>
      <c r="C31" s="167">
        <f t="shared" ref="C31:O31" si="14">SUM(C27:C30)</f>
        <v>10961</v>
      </c>
      <c r="D31" s="131">
        <f t="shared" si="14"/>
        <v>1500</v>
      </c>
      <c r="E31" s="172">
        <f t="shared" si="14"/>
        <v>1500</v>
      </c>
      <c r="F31" s="132">
        <f t="shared" si="14"/>
        <v>0</v>
      </c>
      <c r="G31" s="131">
        <f t="shared" si="14"/>
        <v>4591</v>
      </c>
      <c r="H31" s="172">
        <f t="shared" si="14"/>
        <v>4591</v>
      </c>
      <c r="I31" s="132">
        <f t="shared" si="14"/>
        <v>0</v>
      </c>
      <c r="J31" s="131">
        <f t="shared" si="14"/>
        <v>1250</v>
      </c>
      <c r="K31" s="172">
        <f t="shared" si="14"/>
        <v>1250</v>
      </c>
      <c r="L31" s="132">
        <f t="shared" si="14"/>
        <v>0</v>
      </c>
      <c r="M31" s="131">
        <f t="shared" si="14"/>
        <v>3620</v>
      </c>
      <c r="N31" s="172">
        <f t="shared" si="14"/>
        <v>3620</v>
      </c>
      <c r="O31" s="132">
        <f t="shared" si="14"/>
        <v>0</v>
      </c>
      <c r="P31" s="171"/>
      <c r="Q31" s="171"/>
      <c r="R31" s="171"/>
      <c r="S31" s="171"/>
      <c r="T31" s="171"/>
      <c r="U31" s="171"/>
      <c r="V31" s="171"/>
    </row>
    <row r="32" spans="1:22" ht="15.75" customHeight="1" x14ac:dyDescent="0.25">
      <c r="A32" s="388" t="s">
        <v>24</v>
      </c>
      <c r="B32" s="18" t="s">
        <v>3</v>
      </c>
      <c r="C32" s="168">
        <f>'Estimación y Asignacion Costes'!K32</f>
        <v>201434.16666666666</v>
      </c>
      <c r="D32" s="135">
        <f>'Estimación y Asignacion Costes'!C32</f>
        <v>54507.5</v>
      </c>
      <c r="E32" s="177">
        <v>48920</v>
      </c>
      <c r="F32" s="176">
        <f>D32-E32</f>
        <v>5587.5</v>
      </c>
      <c r="G32" s="135">
        <f>'Estimación y Asignacion Costes'!E32</f>
        <v>92419.166666666672</v>
      </c>
      <c r="H32" s="177">
        <v>85500</v>
      </c>
      <c r="I32" s="176">
        <f>G32-H32</f>
        <v>6919.1666666666715</v>
      </c>
      <c r="J32" s="135">
        <f>'Estimación y Asignacion Costes'!G32</f>
        <v>36338.333333333336</v>
      </c>
      <c r="K32" s="177">
        <v>36338</v>
      </c>
      <c r="L32" s="176">
        <f>J32-K32</f>
        <v>0.33333333333575865</v>
      </c>
      <c r="M32" s="135">
        <f>'Estimación y Asignacion Costes'!I32</f>
        <v>18169.166666666668</v>
      </c>
      <c r="N32" s="177">
        <v>18169</v>
      </c>
      <c r="O32" s="176">
        <f>M32-N32</f>
        <v>0.16666666666787933</v>
      </c>
      <c r="P32" s="171"/>
      <c r="Q32" s="171"/>
      <c r="R32" s="171"/>
      <c r="S32" s="171"/>
      <c r="T32" s="171"/>
      <c r="U32" s="171"/>
      <c r="V32" s="171"/>
    </row>
    <row r="33" spans="1:22" x14ac:dyDescent="0.25">
      <c r="A33" s="389"/>
      <c r="B33" s="19" t="s">
        <v>4</v>
      </c>
      <c r="C33" s="165">
        <f>'Estimación y Asignacion Costes'!K33</f>
        <v>98480</v>
      </c>
      <c r="D33" s="28">
        <f>'Estimación y Asignacion Costes'!C33</f>
        <v>27000</v>
      </c>
      <c r="E33" s="178">
        <v>27000</v>
      </c>
      <c r="F33" s="175">
        <f t="shared" ref="F33:F38" si="15">D33-E33</f>
        <v>0</v>
      </c>
      <c r="G33" s="28">
        <f>'Estimación y Asignacion Costes'!E33</f>
        <v>44480</v>
      </c>
      <c r="H33" s="178">
        <v>44480</v>
      </c>
      <c r="I33" s="175">
        <f t="shared" ref="I33:I38" si="16">G33-H33</f>
        <v>0</v>
      </c>
      <c r="J33" s="28">
        <f>'Estimación y Asignacion Costes'!G33</f>
        <v>18000</v>
      </c>
      <c r="K33" s="178">
        <v>18000</v>
      </c>
      <c r="L33" s="175">
        <f t="shared" ref="L33:L38" si="17">J33-K33</f>
        <v>0</v>
      </c>
      <c r="M33" s="28">
        <f>'Estimación y Asignacion Costes'!I33</f>
        <v>9000</v>
      </c>
      <c r="N33" s="178">
        <v>9000</v>
      </c>
      <c r="O33" s="175">
        <f t="shared" ref="O33:O38" si="18">M33-N33</f>
        <v>0</v>
      </c>
      <c r="P33" s="171"/>
      <c r="Q33" s="171"/>
      <c r="R33" s="171"/>
      <c r="S33" s="171"/>
      <c r="T33" s="171"/>
      <c r="U33" s="171"/>
      <c r="V33" s="171"/>
    </row>
    <row r="34" spans="1:22" x14ac:dyDescent="0.25">
      <c r="A34" s="389"/>
      <c r="B34" s="19" t="s">
        <v>9</v>
      </c>
      <c r="C34" s="165">
        <f>'Estimación y Asignacion Costes'!K34</f>
        <v>14100</v>
      </c>
      <c r="D34" s="28">
        <f>'Estimación y Asignacion Costes'!C34</f>
        <v>3600</v>
      </c>
      <c r="E34" s="178">
        <v>3000</v>
      </c>
      <c r="F34" s="175">
        <f t="shared" si="15"/>
        <v>600</v>
      </c>
      <c r="G34" s="28">
        <f>'Estimación y Asignacion Costes'!E34</f>
        <v>6900</v>
      </c>
      <c r="H34" s="178">
        <v>2500</v>
      </c>
      <c r="I34" s="175">
        <f t="shared" si="16"/>
        <v>4400</v>
      </c>
      <c r="J34" s="28">
        <f>'Estimación y Asignacion Costes'!G34</f>
        <v>2400</v>
      </c>
      <c r="K34" s="178">
        <v>2400</v>
      </c>
      <c r="L34" s="175">
        <f t="shared" si="17"/>
        <v>0</v>
      </c>
      <c r="M34" s="28">
        <f>'Estimación y Asignacion Costes'!I34</f>
        <v>1200</v>
      </c>
      <c r="N34" s="178">
        <v>1200</v>
      </c>
      <c r="O34" s="175">
        <f t="shared" si="18"/>
        <v>0</v>
      </c>
      <c r="P34" s="171"/>
      <c r="Q34" s="171"/>
      <c r="R34" s="171"/>
      <c r="S34" s="171"/>
      <c r="T34" s="171"/>
      <c r="U34" s="171"/>
      <c r="V34" s="171"/>
    </row>
    <row r="35" spans="1:22" x14ac:dyDescent="0.25">
      <c r="A35" s="389"/>
      <c r="B35" s="19" t="s">
        <v>11</v>
      </c>
      <c r="C35" s="165">
        <f>'Estimación y Asignacion Costes'!K35</f>
        <v>7000</v>
      </c>
      <c r="D35" s="28">
        <f>'Estimación y Asignacion Costes'!C35</f>
        <v>2100</v>
      </c>
      <c r="E35" s="178">
        <v>2100</v>
      </c>
      <c r="F35" s="175">
        <f t="shared" si="15"/>
        <v>0</v>
      </c>
      <c r="G35" s="28">
        <f>'Estimación y Asignacion Costes'!E35</f>
        <v>2800</v>
      </c>
      <c r="H35" s="178">
        <v>2800</v>
      </c>
      <c r="I35" s="175">
        <f t="shared" si="16"/>
        <v>0</v>
      </c>
      <c r="J35" s="28">
        <f>'Estimación y Asignacion Costes'!G35</f>
        <v>1400</v>
      </c>
      <c r="K35" s="178">
        <v>1400</v>
      </c>
      <c r="L35" s="175">
        <f t="shared" si="17"/>
        <v>0</v>
      </c>
      <c r="M35" s="28">
        <f>'Estimación y Asignacion Costes'!I35</f>
        <v>700</v>
      </c>
      <c r="N35" s="178">
        <v>700</v>
      </c>
      <c r="O35" s="175">
        <f t="shared" si="18"/>
        <v>0</v>
      </c>
      <c r="P35" s="171"/>
      <c r="Q35" s="171"/>
      <c r="R35" s="171"/>
      <c r="S35" s="171"/>
      <c r="T35" s="171"/>
      <c r="U35" s="171"/>
      <c r="V35" s="171"/>
    </row>
    <row r="36" spans="1:22" x14ac:dyDescent="0.25">
      <c r="A36" s="389"/>
      <c r="B36" s="19" t="s">
        <v>13</v>
      </c>
      <c r="C36" s="165">
        <f>'Estimación y Asignacion Costes'!K36</f>
        <v>7000</v>
      </c>
      <c r="D36" s="28">
        <f>'Estimación y Asignacion Costes'!C36</f>
        <v>0</v>
      </c>
      <c r="E36" s="178">
        <v>0</v>
      </c>
      <c r="F36" s="175">
        <f t="shared" si="15"/>
        <v>0</v>
      </c>
      <c r="G36" s="28">
        <f>'Estimación y Asignacion Costes'!E36</f>
        <v>7000</v>
      </c>
      <c r="H36" s="178">
        <v>7000</v>
      </c>
      <c r="I36" s="175">
        <f t="shared" si="16"/>
        <v>0</v>
      </c>
      <c r="J36" s="28">
        <f>'Estimación y Asignacion Costes'!G36</f>
        <v>0</v>
      </c>
      <c r="K36" s="178">
        <v>0</v>
      </c>
      <c r="L36" s="175">
        <f t="shared" si="17"/>
        <v>0</v>
      </c>
      <c r="M36" s="28">
        <f>'Estimación y Asignacion Costes'!I36</f>
        <v>0</v>
      </c>
      <c r="N36" s="178">
        <v>0</v>
      </c>
      <c r="O36" s="175">
        <f t="shared" si="18"/>
        <v>0</v>
      </c>
      <c r="P36" s="171"/>
      <c r="Q36" s="171"/>
      <c r="R36" s="171"/>
      <c r="S36" s="171"/>
      <c r="T36" s="171"/>
      <c r="U36" s="171"/>
      <c r="V36" s="171"/>
    </row>
    <row r="37" spans="1:22" x14ac:dyDescent="0.25">
      <c r="A37" s="389"/>
      <c r="B37" s="19" t="s">
        <v>16</v>
      </c>
      <c r="C37" s="165">
        <f>'Estimación y Asignacion Costes'!K37</f>
        <v>3000</v>
      </c>
      <c r="D37" s="28">
        <f>'Estimación y Asignacion Costes'!C37</f>
        <v>900</v>
      </c>
      <c r="E37" s="178">
        <v>900</v>
      </c>
      <c r="F37" s="175">
        <f t="shared" si="15"/>
        <v>0</v>
      </c>
      <c r="G37" s="28">
        <f>'Estimación y Asignacion Costes'!E37</f>
        <v>1200</v>
      </c>
      <c r="H37" s="178">
        <v>1200</v>
      </c>
      <c r="I37" s="175">
        <f t="shared" si="16"/>
        <v>0</v>
      </c>
      <c r="J37" s="28">
        <f>'Estimación y Asignacion Costes'!G37</f>
        <v>600</v>
      </c>
      <c r="K37" s="178">
        <v>600</v>
      </c>
      <c r="L37" s="175">
        <f t="shared" si="17"/>
        <v>0</v>
      </c>
      <c r="M37" s="28">
        <f>'Estimación y Asignacion Costes'!I37</f>
        <v>300</v>
      </c>
      <c r="N37" s="178">
        <v>300</v>
      </c>
      <c r="O37" s="175">
        <f t="shared" si="18"/>
        <v>0</v>
      </c>
      <c r="P37" s="171"/>
      <c r="Q37" s="171"/>
      <c r="R37" s="171"/>
      <c r="S37" s="171"/>
      <c r="T37" s="171"/>
      <c r="U37" s="171"/>
      <c r="V37" s="171"/>
    </row>
    <row r="38" spans="1:22" x14ac:dyDescent="0.25">
      <c r="A38" s="389"/>
      <c r="B38" s="19" t="s">
        <v>25</v>
      </c>
      <c r="C38" s="165">
        <f>'Estimación y Asignacion Costes'!K38</f>
        <v>7400</v>
      </c>
      <c r="D38" s="28">
        <f>'Estimación y Asignacion Costes'!C38</f>
        <v>2100</v>
      </c>
      <c r="E38" s="178">
        <v>2100</v>
      </c>
      <c r="F38" s="175">
        <f t="shared" si="15"/>
        <v>0</v>
      </c>
      <c r="G38" s="28">
        <f>'Estimación y Asignacion Costes'!E38</f>
        <v>3200</v>
      </c>
      <c r="H38" s="178">
        <v>3200</v>
      </c>
      <c r="I38" s="175">
        <f t="shared" si="16"/>
        <v>0</v>
      </c>
      <c r="J38" s="28">
        <f>'Estimación y Asignacion Costes'!G38</f>
        <v>1400</v>
      </c>
      <c r="K38" s="178">
        <v>1400</v>
      </c>
      <c r="L38" s="175">
        <f t="shared" si="17"/>
        <v>0</v>
      </c>
      <c r="M38" s="28">
        <f>'Estimación y Asignacion Costes'!I38</f>
        <v>700</v>
      </c>
      <c r="N38" s="178">
        <v>700</v>
      </c>
      <c r="O38" s="175">
        <f t="shared" si="18"/>
        <v>0</v>
      </c>
      <c r="P38" s="171"/>
      <c r="Q38" s="171"/>
      <c r="R38" s="171"/>
      <c r="S38" s="171"/>
      <c r="T38" s="171"/>
      <c r="U38" s="171"/>
      <c r="V38" s="171"/>
    </row>
    <row r="39" spans="1:22" x14ac:dyDescent="0.25">
      <c r="A39" s="390"/>
      <c r="B39" s="8"/>
      <c r="C39" s="167">
        <f>SUM(C32:C38)</f>
        <v>338414.16666666663</v>
      </c>
      <c r="D39" s="131">
        <f>SUM(D32:D38)</f>
        <v>90207.5</v>
      </c>
      <c r="E39" s="172">
        <f>SUM(E32:E38)</f>
        <v>84020</v>
      </c>
      <c r="F39" s="132">
        <f>SUM(F32:F38)</f>
        <v>6187.5</v>
      </c>
      <c r="G39" s="131">
        <f t="shared" ref="G39:O39" si="19">SUM(G32:G38)</f>
        <v>157999.16666666669</v>
      </c>
      <c r="H39" s="172">
        <f t="shared" si="19"/>
        <v>146680</v>
      </c>
      <c r="I39" s="132">
        <f t="shared" si="19"/>
        <v>11319.166666666672</v>
      </c>
      <c r="J39" s="131">
        <f t="shared" si="19"/>
        <v>60138.333333333336</v>
      </c>
      <c r="K39" s="172">
        <f t="shared" si="19"/>
        <v>60138</v>
      </c>
      <c r="L39" s="132">
        <f t="shared" si="19"/>
        <v>0.33333333333575865</v>
      </c>
      <c r="M39" s="131">
        <f t="shared" si="19"/>
        <v>30069.166666666668</v>
      </c>
      <c r="N39" s="172">
        <f t="shared" si="19"/>
        <v>30069</v>
      </c>
      <c r="O39" s="132">
        <f t="shared" si="19"/>
        <v>0.16666666666787933</v>
      </c>
      <c r="P39" s="171"/>
      <c r="Q39" s="171"/>
      <c r="R39" s="171"/>
      <c r="S39" s="171"/>
      <c r="T39" s="171"/>
      <c r="U39" s="171"/>
      <c r="V39" s="171"/>
    </row>
    <row r="40" spans="1:22" ht="15.75" customHeight="1" x14ac:dyDescent="0.25">
      <c r="A40" s="385" t="s">
        <v>47</v>
      </c>
      <c r="B40" s="18" t="s">
        <v>74</v>
      </c>
      <c r="C40" s="168">
        <f>'Estimación y Asignacion Costes'!K40</f>
        <v>10371.346666666666</v>
      </c>
      <c r="D40" s="135">
        <f>'Estimación y Asignacion Costes'!C40</f>
        <v>0</v>
      </c>
      <c r="E40" s="177">
        <v>0</v>
      </c>
      <c r="F40" s="176">
        <f>D40-E40</f>
        <v>0</v>
      </c>
      <c r="G40" s="135">
        <f>'Estimación y Asignacion Costes'!E40</f>
        <v>9696.3466666666664</v>
      </c>
      <c r="H40" s="177">
        <v>9696</v>
      </c>
      <c r="I40" s="176">
        <f>G40-H40</f>
        <v>0.34666666666635138</v>
      </c>
      <c r="J40" s="135">
        <f>'Estimación y Asignacion Costes'!G40</f>
        <v>525</v>
      </c>
      <c r="K40" s="177">
        <v>525</v>
      </c>
      <c r="L40" s="176">
        <f>J40-K40</f>
        <v>0</v>
      </c>
      <c r="M40" s="135">
        <f>'Estimación y Asignacion Costes'!I40</f>
        <v>150</v>
      </c>
      <c r="N40" s="177">
        <v>150</v>
      </c>
      <c r="O40" s="176">
        <f>M40-N40</f>
        <v>0</v>
      </c>
      <c r="P40" s="171"/>
      <c r="Q40" s="171"/>
      <c r="R40" s="171"/>
      <c r="S40" s="171"/>
      <c r="T40" s="171"/>
      <c r="U40" s="171"/>
      <c r="V40" s="171"/>
    </row>
    <row r="41" spans="1:22" ht="15.75" customHeight="1" x14ac:dyDescent="0.25">
      <c r="A41" s="386"/>
      <c r="B41" s="19" t="s">
        <v>18</v>
      </c>
      <c r="C41" s="165">
        <f>'Estimación y Asignacion Costes'!K41</f>
        <v>2800</v>
      </c>
      <c r="D41" s="28">
        <f>'Estimación y Asignacion Costes'!C41</f>
        <v>1250</v>
      </c>
      <c r="E41" s="178">
        <v>1250</v>
      </c>
      <c r="F41" s="175">
        <f t="shared" ref="F41:F46" si="20">D41-E41</f>
        <v>0</v>
      </c>
      <c r="G41" s="28">
        <f>'Estimación y Asignacion Costes'!E41</f>
        <v>850</v>
      </c>
      <c r="H41" s="178">
        <v>850</v>
      </c>
      <c r="I41" s="175">
        <f t="shared" ref="I41:I46" si="21">G41-H41</f>
        <v>0</v>
      </c>
      <c r="J41" s="28">
        <f>'Estimación y Asignacion Costes'!G41</f>
        <v>600</v>
      </c>
      <c r="K41" s="178">
        <v>600</v>
      </c>
      <c r="L41" s="175">
        <f t="shared" ref="L41:L46" si="22">J41-K41</f>
        <v>0</v>
      </c>
      <c r="M41" s="28">
        <f>'Estimación y Asignacion Costes'!I41</f>
        <v>100</v>
      </c>
      <c r="N41" s="178">
        <v>100</v>
      </c>
      <c r="O41" s="175">
        <f t="shared" ref="O41:O46" si="23">M41-N41</f>
        <v>0</v>
      </c>
      <c r="P41" s="171"/>
      <c r="Q41" s="171"/>
      <c r="R41" s="171"/>
      <c r="S41" s="171"/>
      <c r="T41" s="171"/>
      <c r="U41" s="171"/>
      <c r="V41" s="171"/>
    </row>
    <row r="42" spans="1:22" x14ac:dyDescent="0.25">
      <c r="A42" s="386"/>
      <c r="B42" s="19" t="s">
        <v>7</v>
      </c>
      <c r="C42" s="165">
        <f>'Estimación y Asignacion Costes'!K42</f>
        <v>450</v>
      </c>
      <c r="D42" s="28">
        <f>'Estimación y Asignacion Costes'!C42</f>
        <v>150</v>
      </c>
      <c r="E42" s="178">
        <v>150</v>
      </c>
      <c r="F42" s="175">
        <f t="shared" si="20"/>
        <v>0</v>
      </c>
      <c r="G42" s="28">
        <f>'Estimación y Asignacion Costes'!E42</f>
        <v>300</v>
      </c>
      <c r="H42" s="178">
        <v>300</v>
      </c>
      <c r="I42" s="175">
        <f t="shared" si="21"/>
        <v>0</v>
      </c>
      <c r="J42" s="28">
        <f>'Estimación y Asignacion Costes'!G42</f>
        <v>0</v>
      </c>
      <c r="K42" s="178">
        <v>0</v>
      </c>
      <c r="L42" s="175">
        <f t="shared" si="22"/>
        <v>0</v>
      </c>
      <c r="M42" s="28">
        <f>'Estimación y Asignacion Costes'!I42</f>
        <v>0</v>
      </c>
      <c r="N42" s="178">
        <v>0</v>
      </c>
      <c r="O42" s="175">
        <f t="shared" si="23"/>
        <v>0</v>
      </c>
      <c r="P42" s="171"/>
      <c r="Q42" s="171"/>
      <c r="R42" s="171"/>
      <c r="S42" s="171"/>
      <c r="T42" s="171"/>
      <c r="U42" s="171"/>
      <c r="V42" s="171"/>
    </row>
    <row r="43" spans="1:22" x14ac:dyDescent="0.25">
      <c r="A43" s="386"/>
      <c r="B43" s="19" t="s">
        <v>75</v>
      </c>
      <c r="C43" s="165">
        <f>'Estimación y Asignacion Costes'!K43</f>
        <v>900</v>
      </c>
      <c r="D43" s="28">
        <f>'Estimación y Asignacion Costes'!C43</f>
        <v>150</v>
      </c>
      <c r="E43" s="178">
        <v>150</v>
      </c>
      <c r="F43" s="175">
        <f t="shared" si="20"/>
        <v>0</v>
      </c>
      <c r="G43" s="28">
        <f>'Estimación y Asignacion Costes'!E43</f>
        <v>300</v>
      </c>
      <c r="H43" s="178">
        <v>300</v>
      </c>
      <c r="I43" s="175">
        <f t="shared" si="21"/>
        <v>0</v>
      </c>
      <c r="J43" s="28">
        <f>'Estimación y Asignacion Costes'!G43</f>
        <v>450</v>
      </c>
      <c r="K43" s="178">
        <v>450</v>
      </c>
      <c r="L43" s="175">
        <f t="shared" si="22"/>
        <v>0</v>
      </c>
      <c r="M43" s="28">
        <f>'Estimación y Asignacion Costes'!I43</f>
        <v>0</v>
      </c>
      <c r="N43" s="178">
        <v>0</v>
      </c>
      <c r="O43" s="175">
        <f t="shared" si="23"/>
        <v>0</v>
      </c>
      <c r="P43" s="171"/>
      <c r="Q43" s="171"/>
      <c r="R43" s="171"/>
      <c r="S43" s="171"/>
      <c r="T43" s="171"/>
      <c r="U43" s="171"/>
      <c r="V43" s="171"/>
    </row>
    <row r="44" spans="1:22" x14ac:dyDescent="0.25">
      <c r="A44" s="386"/>
      <c r="B44" s="19" t="s">
        <v>19</v>
      </c>
      <c r="C44" s="165">
        <f>'Estimación y Asignacion Costes'!K44</f>
        <v>1080</v>
      </c>
      <c r="D44" s="28">
        <f>'Estimación y Asignacion Costes'!C44</f>
        <v>825</v>
      </c>
      <c r="E44" s="178">
        <v>825</v>
      </c>
      <c r="F44" s="175">
        <f t="shared" si="20"/>
        <v>0</v>
      </c>
      <c r="G44" s="28">
        <f>'Estimación y Asignacion Costes'!E44</f>
        <v>100</v>
      </c>
      <c r="H44" s="178">
        <v>100</v>
      </c>
      <c r="I44" s="175">
        <f t="shared" si="21"/>
        <v>0</v>
      </c>
      <c r="J44" s="28">
        <f>'Estimación y Asignacion Costes'!G44</f>
        <v>155</v>
      </c>
      <c r="K44" s="178">
        <v>155</v>
      </c>
      <c r="L44" s="175">
        <f t="shared" si="22"/>
        <v>0</v>
      </c>
      <c r="M44" s="28">
        <f>'Estimación y Asignacion Costes'!I44</f>
        <v>0</v>
      </c>
      <c r="N44" s="178">
        <v>0</v>
      </c>
      <c r="O44" s="175">
        <f t="shared" si="23"/>
        <v>0</v>
      </c>
      <c r="P44" s="171"/>
      <c r="Q44" s="171"/>
      <c r="R44" s="171"/>
      <c r="S44" s="171"/>
      <c r="T44" s="171"/>
      <c r="U44" s="171"/>
      <c r="V44" s="171"/>
    </row>
    <row r="45" spans="1:22" x14ac:dyDescent="0.25">
      <c r="A45" s="386"/>
      <c r="B45" s="19" t="s">
        <v>20</v>
      </c>
      <c r="C45" s="165">
        <f>'Estimación y Asignacion Costes'!K45</f>
        <v>1703.3333333333335</v>
      </c>
      <c r="D45" s="28">
        <f>'Estimación y Asignacion Costes'!C45</f>
        <v>1653.3333333333335</v>
      </c>
      <c r="E45" s="178">
        <v>1653</v>
      </c>
      <c r="F45" s="175">
        <f t="shared" si="20"/>
        <v>0.33333333333348492</v>
      </c>
      <c r="G45" s="28">
        <f>'Estimación y Asignacion Costes'!E45</f>
        <v>50</v>
      </c>
      <c r="H45" s="178">
        <v>50</v>
      </c>
      <c r="I45" s="175">
        <f t="shared" si="21"/>
        <v>0</v>
      </c>
      <c r="J45" s="28">
        <f>'Estimación y Asignacion Costes'!G45</f>
        <v>0</v>
      </c>
      <c r="K45" s="178">
        <v>0</v>
      </c>
      <c r="L45" s="175">
        <f t="shared" si="22"/>
        <v>0</v>
      </c>
      <c r="M45" s="28">
        <f>'Estimación y Asignacion Costes'!I45</f>
        <v>0</v>
      </c>
      <c r="N45" s="178">
        <v>0</v>
      </c>
      <c r="O45" s="175">
        <f t="shared" si="23"/>
        <v>0</v>
      </c>
      <c r="P45" s="171"/>
      <c r="Q45" s="171"/>
      <c r="R45" s="171"/>
      <c r="S45" s="171"/>
      <c r="T45" s="171"/>
      <c r="U45" s="171"/>
      <c r="V45" s="171"/>
    </row>
    <row r="46" spans="1:22" x14ac:dyDescent="0.25">
      <c r="A46" s="386"/>
      <c r="B46" s="19" t="s">
        <v>17</v>
      </c>
      <c r="C46" s="165">
        <f>'Estimación y Asignacion Costes'!K46</f>
        <v>533</v>
      </c>
      <c r="D46" s="28">
        <f>'Estimación y Asignacion Costes'!C46</f>
        <v>100</v>
      </c>
      <c r="E46" s="178">
        <v>100</v>
      </c>
      <c r="F46" s="175">
        <f t="shared" si="20"/>
        <v>0</v>
      </c>
      <c r="G46" s="28">
        <f>'Estimación y Asignacion Costes'!E46</f>
        <v>75</v>
      </c>
      <c r="H46" s="178">
        <v>75</v>
      </c>
      <c r="I46" s="175">
        <f t="shared" si="21"/>
        <v>0</v>
      </c>
      <c r="J46" s="28">
        <f>'Estimación y Asignacion Costes'!G46</f>
        <v>258</v>
      </c>
      <c r="K46" s="178">
        <v>258</v>
      </c>
      <c r="L46" s="175">
        <f t="shared" si="22"/>
        <v>0</v>
      </c>
      <c r="M46" s="28">
        <f>'Estimación y Asignacion Costes'!I46</f>
        <v>100</v>
      </c>
      <c r="N46" s="178">
        <v>100</v>
      </c>
      <c r="O46" s="175">
        <f t="shared" si="23"/>
        <v>0</v>
      </c>
      <c r="P46" s="171"/>
      <c r="Q46" s="171"/>
      <c r="R46" s="171"/>
      <c r="S46" s="171"/>
      <c r="T46" s="171"/>
      <c r="U46" s="171"/>
      <c r="V46" s="171"/>
    </row>
    <row r="47" spans="1:22" x14ac:dyDescent="0.25">
      <c r="A47" s="386"/>
      <c r="B47" s="151"/>
      <c r="C47" s="169">
        <f>SUM(C40:C46)</f>
        <v>17837.68</v>
      </c>
      <c r="D47" s="131">
        <f>SUM(D40:D46)</f>
        <v>4128.3333333333339</v>
      </c>
      <c r="E47" s="172">
        <f>SUM(E40:E46)</f>
        <v>4128</v>
      </c>
      <c r="F47" s="132">
        <f>SUM(F40:F46)</f>
        <v>0.33333333333348492</v>
      </c>
      <c r="G47" s="131">
        <f t="shared" ref="G47:O47" si="24">SUM(G40:G46)</f>
        <v>11371.346666666666</v>
      </c>
      <c r="H47" s="172">
        <f t="shared" si="24"/>
        <v>11371</v>
      </c>
      <c r="I47" s="132">
        <f t="shared" si="24"/>
        <v>0.34666666666635138</v>
      </c>
      <c r="J47" s="131">
        <f t="shared" si="24"/>
        <v>1988</v>
      </c>
      <c r="K47" s="172">
        <f t="shared" si="24"/>
        <v>1988</v>
      </c>
      <c r="L47" s="132">
        <f t="shared" si="24"/>
        <v>0</v>
      </c>
      <c r="M47" s="131">
        <f t="shared" si="24"/>
        <v>350</v>
      </c>
      <c r="N47" s="172">
        <f t="shared" si="24"/>
        <v>350</v>
      </c>
      <c r="O47" s="132">
        <f t="shared" si="24"/>
        <v>0</v>
      </c>
      <c r="P47" s="171"/>
      <c r="Q47" s="171"/>
      <c r="R47" s="171"/>
      <c r="S47" s="171"/>
      <c r="T47" s="171"/>
      <c r="U47" s="171"/>
      <c r="V47" s="171"/>
    </row>
    <row r="48" spans="1:22" ht="15" customHeight="1" x14ac:dyDescent="0.25">
      <c r="A48" s="388" t="s">
        <v>5</v>
      </c>
      <c r="B48" s="22" t="s">
        <v>78</v>
      </c>
      <c r="C48" s="168">
        <f>'Estimación y Asignacion Costes'!K48</f>
        <v>2775</v>
      </c>
      <c r="D48" s="135">
        <f>'Estimación y Asignacion Costes'!C48</f>
        <v>900</v>
      </c>
      <c r="E48" s="177">
        <v>900</v>
      </c>
      <c r="F48" s="176">
        <f>D48-E48</f>
        <v>0</v>
      </c>
      <c r="G48" s="135">
        <f>'Estimación y Asignacion Costes'!E48</f>
        <v>1200</v>
      </c>
      <c r="H48" s="177">
        <v>1200</v>
      </c>
      <c r="I48" s="176">
        <f>G48-H48</f>
        <v>0</v>
      </c>
      <c r="J48" s="135">
        <f>'Estimación y Asignacion Costes'!G48</f>
        <v>525</v>
      </c>
      <c r="K48" s="177">
        <v>525</v>
      </c>
      <c r="L48" s="176">
        <f>J48-K48</f>
        <v>0</v>
      </c>
      <c r="M48" s="135">
        <f>'Estimación y Asignacion Costes'!I48</f>
        <v>150</v>
      </c>
      <c r="N48" s="177">
        <v>150</v>
      </c>
      <c r="O48" s="176">
        <f>M48-N48</f>
        <v>0</v>
      </c>
      <c r="P48" s="171"/>
      <c r="Q48" s="171"/>
      <c r="R48" s="171"/>
      <c r="S48" s="171"/>
      <c r="T48" s="171"/>
      <c r="U48" s="171"/>
      <c r="V48" s="171"/>
    </row>
    <row r="49" spans="1:22" x14ac:dyDescent="0.25">
      <c r="A49" s="389"/>
      <c r="B49" s="21" t="s">
        <v>15</v>
      </c>
      <c r="C49" s="165">
        <f>'Estimación y Asignacion Costes'!K49</f>
        <v>2750</v>
      </c>
      <c r="D49" s="28">
        <f>'Estimación y Asignacion Costes'!C49</f>
        <v>800</v>
      </c>
      <c r="E49" s="178">
        <v>800</v>
      </c>
      <c r="F49" s="175">
        <f t="shared" ref="F49:F50" si="25">D49-E49</f>
        <v>0</v>
      </c>
      <c r="G49" s="28">
        <f>'Estimación y Asignacion Costes'!E49</f>
        <v>650</v>
      </c>
      <c r="H49" s="178">
        <v>650</v>
      </c>
      <c r="I49" s="175">
        <f t="shared" ref="I49:I50" si="26">G49-H49</f>
        <v>0</v>
      </c>
      <c r="J49" s="28">
        <f>'Estimación y Asignacion Costes'!G49</f>
        <v>1300</v>
      </c>
      <c r="K49" s="178">
        <v>1300</v>
      </c>
      <c r="L49" s="175">
        <f t="shared" ref="L49:L50" si="27">J49-K49</f>
        <v>0</v>
      </c>
      <c r="M49" s="28">
        <f>'Estimación y Asignacion Costes'!I49</f>
        <v>0</v>
      </c>
      <c r="N49" s="178">
        <v>0</v>
      </c>
      <c r="O49" s="175">
        <f t="shared" ref="O49:O50" si="28">M49-N49</f>
        <v>0</v>
      </c>
      <c r="P49" s="171"/>
      <c r="Q49" s="171"/>
      <c r="R49" s="171"/>
      <c r="S49" s="171"/>
      <c r="T49" s="171"/>
      <c r="U49" s="171"/>
      <c r="V49" s="171"/>
    </row>
    <row r="50" spans="1:22" x14ac:dyDescent="0.25">
      <c r="A50" s="389"/>
      <c r="B50" s="21" t="s">
        <v>81</v>
      </c>
      <c r="C50" s="165">
        <f>'Estimación y Asignacion Costes'!K50</f>
        <v>5350</v>
      </c>
      <c r="D50" s="28">
        <f>'Estimación y Asignacion Costes'!C50</f>
        <v>1100</v>
      </c>
      <c r="E50" s="178">
        <v>1100</v>
      </c>
      <c r="F50" s="175">
        <f t="shared" si="25"/>
        <v>0</v>
      </c>
      <c r="G50" s="28">
        <f>'Estimación y Asignacion Costes'!E50</f>
        <v>4250</v>
      </c>
      <c r="H50" s="178">
        <v>4250</v>
      </c>
      <c r="I50" s="175">
        <f t="shared" si="26"/>
        <v>0</v>
      </c>
      <c r="J50" s="28">
        <f>'Estimación y Asignacion Costes'!G50</f>
        <v>0</v>
      </c>
      <c r="K50" s="178">
        <v>0</v>
      </c>
      <c r="L50" s="175">
        <f t="shared" si="27"/>
        <v>0</v>
      </c>
      <c r="M50" s="28">
        <f>'Estimación y Asignacion Costes'!I50</f>
        <v>0</v>
      </c>
      <c r="N50" s="178">
        <v>0</v>
      </c>
      <c r="O50" s="175">
        <f t="shared" si="28"/>
        <v>0</v>
      </c>
      <c r="P50" s="171"/>
      <c r="Q50" s="171"/>
      <c r="R50" s="171"/>
      <c r="S50" s="171"/>
      <c r="T50" s="171"/>
      <c r="U50" s="171"/>
      <c r="V50" s="171"/>
    </row>
    <row r="51" spans="1:22" x14ac:dyDescent="0.25">
      <c r="A51" s="390"/>
      <c r="B51" s="8"/>
      <c r="C51" s="167">
        <f>SUM(C48:C50)</f>
        <v>10875</v>
      </c>
      <c r="D51" s="131">
        <f>SUM(D48:D50)</f>
        <v>2800</v>
      </c>
      <c r="E51" s="172">
        <f>SUM(E48:E50)</f>
        <v>2800</v>
      </c>
      <c r="F51" s="132">
        <f>SUM(F48:F50)</f>
        <v>0</v>
      </c>
      <c r="G51" s="131">
        <f t="shared" ref="G51:O51" si="29">SUM(G48:G50)</f>
        <v>6100</v>
      </c>
      <c r="H51" s="172">
        <f t="shared" si="29"/>
        <v>6100</v>
      </c>
      <c r="I51" s="132">
        <f t="shared" si="29"/>
        <v>0</v>
      </c>
      <c r="J51" s="131">
        <f t="shared" si="29"/>
        <v>1825</v>
      </c>
      <c r="K51" s="172">
        <f t="shared" si="29"/>
        <v>1825</v>
      </c>
      <c r="L51" s="132">
        <f t="shared" si="29"/>
        <v>0</v>
      </c>
      <c r="M51" s="131">
        <f t="shared" si="29"/>
        <v>150</v>
      </c>
      <c r="N51" s="172">
        <f t="shared" si="29"/>
        <v>150</v>
      </c>
      <c r="O51" s="132">
        <f t="shared" si="29"/>
        <v>0</v>
      </c>
      <c r="P51" s="171"/>
      <c r="Q51" s="171"/>
      <c r="R51" s="171"/>
      <c r="S51" s="171"/>
      <c r="T51" s="171"/>
      <c r="U51" s="171"/>
      <c r="V51" s="171"/>
    </row>
    <row r="52" spans="1:22" x14ac:dyDescent="0.25">
      <c r="A52" s="456" t="s">
        <v>79</v>
      </c>
      <c r="B52" s="456"/>
      <c r="C52" s="158">
        <f>C51+C47+C39+C31+C26+C13</f>
        <v>527289.69666666666</v>
      </c>
      <c r="D52" s="158">
        <f t="shared" ref="D52:O52" si="30">D51+D47+D39+D31+D26+D13</f>
        <v>142211.18333333335</v>
      </c>
      <c r="E52" s="158">
        <f t="shared" si="30"/>
        <v>97748</v>
      </c>
      <c r="F52" s="158">
        <f t="shared" si="30"/>
        <v>44463.183333333342</v>
      </c>
      <c r="G52" s="158">
        <f t="shared" si="30"/>
        <v>257268.01333333337</v>
      </c>
      <c r="H52" s="158">
        <f t="shared" si="30"/>
        <v>193353</v>
      </c>
      <c r="I52" s="158">
        <f t="shared" si="30"/>
        <v>63915.013333333336</v>
      </c>
      <c r="J52" s="158">
        <f t="shared" si="30"/>
        <v>79701.333333333343</v>
      </c>
      <c r="K52" s="158">
        <f t="shared" si="30"/>
        <v>79001</v>
      </c>
      <c r="L52" s="158">
        <f t="shared" si="30"/>
        <v>700.33333333333576</v>
      </c>
      <c r="M52" s="158">
        <f t="shared" si="30"/>
        <v>48109.166666666672</v>
      </c>
      <c r="N52" s="158">
        <f t="shared" si="30"/>
        <v>48109</v>
      </c>
      <c r="O52" s="158">
        <f t="shared" si="30"/>
        <v>0.16666666666787933</v>
      </c>
      <c r="P52" s="171"/>
      <c r="Q52" s="171"/>
      <c r="R52" s="171"/>
      <c r="S52" s="171"/>
      <c r="T52" s="171"/>
      <c r="U52" s="171"/>
      <c r="V52" s="171"/>
    </row>
    <row r="53" spans="1:22" x14ac:dyDescent="0.25">
      <c r="A53" s="483" t="s">
        <v>281</v>
      </c>
      <c r="B53" s="483"/>
      <c r="C53" s="483"/>
      <c r="D53" s="238">
        <f>SUM(E53:F53)</f>
        <v>1</v>
      </c>
      <c r="E53" s="238">
        <f>E52/D52</f>
        <v>0.68734397470616171</v>
      </c>
      <c r="F53" s="239">
        <f>F52/D52</f>
        <v>0.31265602529383824</v>
      </c>
      <c r="G53" s="238">
        <f t="shared" ref="G53" si="31">SUM(H53:I53)</f>
        <v>0.99999999999999978</v>
      </c>
      <c r="H53" s="238">
        <f t="shared" ref="H53" si="32">H52/G52</f>
        <v>0.75156253393024464</v>
      </c>
      <c r="I53" s="239">
        <f t="shared" ref="I53" si="33">I52/G52</f>
        <v>0.2484374660697552</v>
      </c>
      <c r="J53" s="238">
        <f t="shared" ref="J53" si="34">SUM(K53:L53)</f>
        <v>0.99999999999999989</v>
      </c>
      <c r="K53" s="238">
        <f t="shared" ref="K53" si="35">K52/J52</f>
        <v>0.99121302864025684</v>
      </c>
      <c r="L53" s="239">
        <f t="shared" ref="L53" si="36">L52/J52</f>
        <v>8.7869713597430697E-3</v>
      </c>
      <c r="M53" s="238">
        <f t="shared" ref="M53" si="37">SUM(N53:O53)</f>
        <v>0.99999999999999989</v>
      </c>
      <c r="N53" s="238">
        <f t="shared" ref="N53" si="38">N52/M52</f>
        <v>0.99999653565675273</v>
      </c>
      <c r="O53" s="239">
        <f t="shared" ref="O53" si="39">O52/M52</f>
        <v>3.4643432471541315E-6</v>
      </c>
      <c r="P53" s="171"/>
      <c r="Q53" s="171"/>
      <c r="R53" s="171"/>
      <c r="S53" s="171"/>
      <c r="T53" s="171"/>
      <c r="U53" s="171"/>
      <c r="V53" s="171"/>
    </row>
    <row r="54" spans="1:22" x14ac:dyDescent="0.25">
      <c r="A54" s="360" t="s">
        <v>295</v>
      </c>
      <c r="B54" s="361"/>
      <c r="C54" s="361"/>
      <c r="D54" s="361"/>
      <c r="E54" s="361"/>
      <c r="F54" s="244">
        <f>E52/F52</f>
        <v>2.1984030982936815</v>
      </c>
      <c r="G54" s="245"/>
      <c r="H54" s="245"/>
      <c r="I54" s="244">
        <f>H52/I52</f>
        <v>3.0251577824385967</v>
      </c>
      <c r="J54" s="245"/>
      <c r="K54" s="245"/>
      <c r="L54" s="244"/>
      <c r="M54" s="20"/>
      <c r="N54" s="20"/>
      <c r="O54" s="23"/>
      <c r="P54" s="171"/>
      <c r="Q54" s="171"/>
      <c r="R54" s="171"/>
      <c r="S54" s="171"/>
      <c r="T54" s="171"/>
      <c r="U54" s="171"/>
      <c r="V54" s="171"/>
    </row>
    <row r="55" spans="1:22" x14ac:dyDescent="0.25">
      <c r="A55" s="364"/>
      <c r="B55" s="365"/>
      <c r="C55" s="365"/>
      <c r="D55" s="365"/>
      <c r="E55" s="365"/>
      <c r="F55" s="157"/>
      <c r="G55" s="157"/>
      <c r="H55" s="157"/>
      <c r="I55" s="157"/>
      <c r="J55" s="157"/>
      <c r="K55" s="157"/>
      <c r="L55" s="157"/>
      <c r="M55" s="157"/>
      <c r="N55" s="157"/>
      <c r="O55" s="100"/>
      <c r="P55" s="171"/>
      <c r="Q55" s="171"/>
      <c r="R55" s="171"/>
      <c r="S55" s="171"/>
      <c r="T55" s="171"/>
      <c r="U55" s="171"/>
      <c r="V55" s="171"/>
    </row>
    <row r="56" spans="1:22" x14ac:dyDescent="0.25">
      <c r="A56" s="360" t="s">
        <v>296</v>
      </c>
      <c r="B56" s="361"/>
      <c r="C56" s="436"/>
      <c r="D56" s="211" t="s">
        <v>297</v>
      </c>
      <c r="E56" s="20"/>
      <c r="F56" s="20"/>
      <c r="G56" s="487">
        <f>D52+G52</f>
        <v>399479.19666666671</v>
      </c>
      <c r="H56" s="487"/>
      <c r="I56" s="23"/>
      <c r="J56" s="211" t="s">
        <v>298</v>
      </c>
      <c r="K56" s="20"/>
      <c r="L56" s="20"/>
      <c r="M56" s="487">
        <f>J52+N52</f>
        <v>127810.33333333334</v>
      </c>
      <c r="N56" s="487"/>
      <c r="O56" s="481">
        <f>M56/G56</f>
        <v>0.31994240100562932</v>
      </c>
    </row>
    <row r="57" spans="1:22" x14ac:dyDescent="0.25">
      <c r="A57" s="364"/>
      <c r="B57" s="365"/>
      <c r="C57" s="438"/>
      <c r="D57" s="42"/>
      <c r="E57" s="157"/>
      <c r="F57" s="157"/>
      <c r="G57" s="246">
        <f>G56/(G56+M56)</f>
        <v>0.75760881629238241</v>
      </c>
      <c r="H57" s="157"/>
      <c r="I57" s="100"/>
      <c r="J57" s="42"/>
      <c r="K57" s="157"/>
      <c r="L57" s="157"/>
      <c r="M57" s="246">
        <f>M56/(M56+G56)</f>
        <v>0.24239118370761759</v>
      </c>
      <c r="N57" s="157"/>
      <c r="O57" s="482"/>
    </row>
    <row r="58" spans="1:22" x14ac:dyDescent="0.25">
      <c r="A58" s="5"/>
      <c r="B58" s="5"/>
      <c r="C58" s="5"/>
      <c r="D58" s="5"/>
      <c r="E58" s="5"/>
    </row>
    <row r="59" spans="1:22" x14ac:dyDescent="0.25">
      <c r="A59" s="5"/>
      <c r="B59" s="5"/>
      <c r="C59" s="5"/>
      <c r="D59" s="5"/>
      <c r="E59" s="5"/>
    </row>
    <row r="60" spans="1:22" ht="15" customHeight="1" x14ac:dyDescent="0.25"/>
    <row r="61" spans="1:22" ht="15.75" customHeight="1" x14ac:dyDescent="0.25"/>
  </sheetData>
  <sheetProtection sheet="1" objects="1" scenarios="1"/>
  <mergeCells count="20">
    <mergeCell ref="A27:A31"/>
    <mergeCell ref="A32:A39"/>
    <mergeCell ref="G56:H56"/>
    <mergeCell ref="M56:N56"/>
    <mergeCell ref="C3:C4"/>
    <mergeCell ref="D3:I3"/>
    <mergeCell ref="A54:E55"/>
    <mergeCell ref="A56:C57"/>
    <mergeCell ref="O56:O57"/>
    <mergeCell ref="A53:C53"/>
    <mergeCell ref="J3:O3"/>
    <mergeCell ref="M4:O4"/>
    <mergeCell ref="A40:A47"/>
    <mergeCell ref="A48:A51"/>
    <mergeCell ref="J4:L4"/>
    <mergeCell ref="A52:B52"/>
    <mergeCell ref="D4:F4"/>
    <mergeCell ref="G4:I4"/>
    <mergeCell ref="A6:A13"/>
    <mergeCell ref="A14:A26"/>
  </mergeCells>
  <pageMargins left="0.31496062992125984" right="0.31496062992125984" top="0.15748031496062992" bottom="0.15748031496062992" header="0.11811023622047245" footer="0.11811023622047245"/>
  <pageSetup paperSize="9" orientation="landscape" r:id="rId1"/>
  <ignoredErrors>
    <ignoredError sqref="F6:F12" unlockedFormula="1"/>
    <ignoredError sqref="F13 I13 L13 O13 F26 I26 L26 O26 F31 I31 L31 O31 F39 I39 L39 O39 F47 I47 L47 O4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="140" zoomScaleNormal="140" workbookViewId="0">
      <selection sqref="A1:E1"/>
    </sheetView>
  </sheetViews>
  <sheetFormatPr baseColWidth="10" defaultRowHeight="15" x14ac:dyDescent="0.25"/>
  <cols>
    <col min="1" max="1" width="11.7109375" customWidth="1"/>
    <col min="2" max="2" width="10.7109375" customWidth="1"/>
    <col min="3" max="4" width="10.28515625" customWidth="1"/>
    <col min="5" max="5" width="9.5703125" customWidth="1"/>
    <col min="9" max="9" width="8.42578125" customWidth="1"/>
    <col min="10" max="10" width="12.85546875" customWidth="1"/>
    <col min="11" max="11" width="7.85546875" customWidth="1"/>
    <col min="12" max="12" width="8" customWidth="1"/>
    <col min="13" max="13" width="7.5703125" customWidth="1"/>
    <col min="14" max="14" width="7.28515625" customWidth="1"/>
    <col min="15" max="15" width="8.140625" customWidth="1"/>
    <col min="16" max="16" width="9.28515625" customWidth="1"/>
    <col min="17" max="17" width="9" customWidth="1"/>
    <col min="18" max="18" width="8.28515625" customWidth="1"/>
    <col min="19" max="20" width="11.42578125" customWidth="1"/>
  </cols>
  <sheetData>
    <row r="1" spans="1:18" x14ac:dyDescent="0.25">
      <c r="A1" s="47" t="s">
        <v>194</v>
      </c>
      <c r="B1" s="48"/>
      <c r="C1" s="48"/>
      <c r="D1" s="48"/>
      <c r="E1" s="48"/>
      <c r="I1" s="47" t="s">
        <v>334</v>
      </c>
      <c r="J1" s="47"/>
      <c r="K1" s="47"/>
      <c r="L1" s="47"/>
      <c r="M1" s="47"/>
      <c r="N1" s="47"/>
    </row>
    <row r="2" spans="1:18" x14ac:dyDescent="0.25">
      <c r="A2" s="408" t="s">
        <v>91</v>
      </c>
      <c r="B2" s="408"/>
      <c r="C2" s="408"/>
      <c r="D2" s="408"/>
      <c r="E2" s="408"/>
      <c r="I2" s="55" t="str">
        <f>"Amortz."&amp;'Estimación y Asignacion Costes'!B45</f>
        <v>Amortz.Maquinaria</v>
      </c>
    </row>
    <row r="3" spans="1:18" ht="15" customHeight="1" x14ac:dyDescent="0.25">
      <c r="C3" s="43" t="s">
        <v>89</v>
      </c>
      <c r="D3" s="63" t="s">
        <v>87</v>
      </c>
      <c r="E3" s="43" t="s">
        <v>88</v>
      </c>
      <c r="F3" s="43"/>
      <c r="I3" s="54" t="s">
        <v>109</v>
      </c>
      <c r="K3" s="404" t="s">
        <v>110</v>
      </c>
      <c r="L3" s="404" t="s">
        <v>111</v>
      </c>
      <c r="M3" s="404" t="s">
        <v>335</v>
      </c>
      <c r="N3" s="404" t="s">
        <v>336</v>
      </c>
      <c r="O3" s="404" t="s">
        <v>337</v>
      </c>
      <c r="P3" s="404" t="s">
        <v>335</v>
      </c>
      <c r="Q3" s="404" t="s">
        <v>113</v>
      </c>
      <c r="R3" s="404" t="s">
        <v>121</v>
      </c>
    </row>
    <row r="4" spans="1:18" x14ac:dyDescent="0.25">
      <c r="A4" s="1" t="s">
        <v>90</v>
      </c>
      <c r="B4" s="1"/>
      <c r="C4" s="43">
        <f>SUM(D4:E4)</f>
        <v>3</v>
      </c>
      <c r="D4" s="43">
        <v>2</v>
      </c>
      <c r="E4" s="43">
        <v>1</v>
      </c>
      <c r="K4" s="404"/>
      <c r="L4" s="404"/>
      <c r="M4" s="404"/>
      <c r="N4" s="404"/>
      <c r="O4" s="404"/>
      <c r="P4" s="404"/>
      <c r="Q4" s="404"/>
      <c r="R4" s="404"/>
    </row>
    <row r="5" spans="1:18" x14ac:dyDescent="0.25">
      <c r="A5" s="1" t="str">
        <f>'Estimación y Asignacion Costes'!B32</f>
        <v>Sueldos y Salarios</v>
      </c>
      <c r="B5" s="1"/>
      <c r="C5" s="307">
        <f t="shared" ref="C5:C13" si="0">D5+E5</f>
        <v>54507.5</v>
      </c>
      <c r="D5" s="45">
        <f>E5*$D$4</f>
        <v>36338.333333333336</v>
      </c>
      <c r="E5" s="45">
        <v>18169.166666666668</v>
      </c>
      <c r="I5" s="403" t="s">
        <v>323</v>
      </c>
      <c r="J5" s="403"/>
      <c r="K5" s="45">
        <v>7000</v>
      </c>
      <c r="L5" s="45">
        <v>-200</v>
      </c>
      <c r="M5" s="57">
        <v>10</v>
      </c>
      <c r="N5" s="58">
        <v>0.1</v>
      </c>
      <c r="O5" s="45">
        <f>(K5-L5)/M5</f>
        <v>720</v>
      </c>
      <c r="P5" s="59">
        <f>Q5*M5</f>
        <v>7000</v>
      </c>
      <c r="Q5" s="59">
        <v>700</v>
      </c>
      <c r="R5" s="52">
        <f>(K5-L5)/P5</f>
        <v>1.0285714285714285</v>
      </c>
    </row>
    <row r="6" spans="1:18" x14ac:dyDescent="0.25">
      <c r="A6" s="1" t="str">
        <f>'Estimación y Asignacion Costes'!B33</f>
        <v>Seguridad Social</v>
      </c>
      <c r="B6" s="1"/>
      <c r="C6" s="307">
        <f t="shared" si="0"/>
        <v>27000</v>
      </c>
      <c r="D6" s="45">
        <f t="shared" ref="D6:D13" si="1">E6*$D$4</f>
        <v>18000</v>
      </c>
      <c r="E6" s="45">
        <v>9000</v>
      </c>
      <c r="I6" s="403" t="s">
        <v>324</v>
      </c>
      <c r="J6" s="403"/>
      <c r="K6" s="45">
        <v>4500</v>
      </c>
      <c r="L6" s="45">
        <v>-100</v>
      </c>
      <c r="M6" s="57">
        <v>15</v>
      </c>
      <c r="N6" s="58">
        <v>0.05</v>
      </c>
      <c r="O6" s="45">
        <f>(K6-L6)/M6</f>
        <v>306.66666666666669</v>
      </c>
      <c r="P6" s="59">
        <f>Q6*M6</f>
        <v>9000</v>
      </c>
      <c r="Q6" s="59">
        <v>600</v>
      </c>
      <c r="R6" s="52">
        <f>(K6-L6)/P6</f>
        <v>0.51111111111111107</v>
      </c>
    </row>
    <row r="7" spans="1:18" ht="15.75" thickBot="1" x14ac:dyDescent="0.3">
      <c r="A7" s="1" t="str">
        <f>'Estimación y Asignacion Costes'!B34</f>
        <v>Dietas y Plus</v>
      </c>
      <c r="B7" s="1"/>
      <c r="C7" s="307">
        <f t="shared" si="0"/>
        <v>3600</v>
      </c>
      <c r="D7" s="45">
        <f t="shared" si="1"/>
        <v>2400</v>
      </c>
      <c r="E7" s="45">
        <v>1200</v>
      </c>
      <c r="I7" s="403" t="s">
        <v>325</v>
      </c>
      <c r="J7" s="403"/>
      <c r="K7" s="45">
        <v>9300</v>
      </c>
      <c r="L7" s="45">
        <v>-100</v>
      </c>
      <c r="M7" s="57">
        <v>15</v>
      </c>
      <c r="N7" s="58">
        <v>0.05</v>
      </c>
      <c r="O7" s="46">
        <f>(K7-L7)/M7</f>
        <v>626.66666666666663</v>
      </c>
      <c r="P7" s="59">
        <f>Q7*M7</f>
        <v>7500</v>
      </c>
      <c r="Q7" s="59">
        <v>500</v>
      </c>
      <c r="R7" s="52">
        <f>(K7-L7)/P7</f>
        <v>1.2533333333333334</v>
      </c>
    </row>
    <row r="8" spans="1:18" ht="15.75" customHeight="1" thickTop="1" x14ac:dyDescent="0.25">
      <c r="A8" s="1" t="str">
        <f>'Estimación y Asignacion Costes'!B35</f>
        <v>Mutuas y Otros</v>
      </c>
      <c r="B8" s="1"/>
      <c r="C8" s="307">
        <f t="shared" si="0"/>
        <v>2100</v>
      </c>
      <c r="D8" s="45">
        <f t="shared" si="1"/>
        <v>1400</v>
      </c>
      <c r="E8" s="45">
        <v>700</v>
      </c>
      <c r="L8" s="404" t="s">
        <v>112</v>
      </c>
      <c r="M8" s="404"/>
      <c r="N8" s="404"/>
      <c r="O8" s="306">
        <f>'Estimación y Asignacion Costes'!C45</f>
        <v>1653.3333333333335</v>
      </c>
    </row>
    <row r="9" spans="1:18" x14ac:dyDescent="0.25">
      <c r="A9" s="1" t="str">
        <f>'Estimación y Asignacion Costes'!B36</f>
        <v>Vestuario</v>
      </c>
      <c r="B9" s="1"/>
      <c r="C9" s="307">
        <f t="shared" si="0"/>
        <v>0</v>
      </c>
      <c r="D9" s="45">
        <f t="shared" si="1"/>
        <v>0</v>
      </c>
      <c r="E9" s="45">
        <v>0</v>
      </c>
    </row>
    <row r="10" spans="1:18" ht="15" customHeight="1" x14ac:dyDescent="0.25">
      <c r="A10" s="1" t="str">
        <f>'Estimación y Asignacion Costes'!B37</f>
        <v>Fondo de Pensiones</v>
      </c>
      <c r="B10" s="1"/>
      <c r="C10" s="307">
        <f t="shared" si="0"/>
        <v>900</v>
      </c>
      <c r="D10" s="45">
        <f t="shared" si="1"/>
        <v>600</v>
      </c>
      <c r="E10" s="45">
        <v>300</v>
      </c>
      <c r="I10" s="55" t="s">
        <v>114</v>
      </c>
      <c r="O10" s="60"/>
    </row>
    <row r="11" spans="1:18" ht="15" customHeight="1" x14ac:dyDescent="0.25">
      <c r="A11" s="1" t="str">
        <f>'Estimación y Asignacion Costes'!B38</f>
        <v>Otras Gtos Sociales</v>
      </c>
      <c r="B11" s="1"/>
      <c r="C11" s="307">
        <f t="shared" si="0"/>
        <v>2100</v>
      </c>
      <c r="D11" s="45">
        <f t="shared" si="1"/>
        <v>1400</v>
      </c>
      <c r="E11" s="45">
        <v>700</v>
      </c>
      <c r="I11" s="404" t="s">
        <v>338</v>
      </c>
      <c r="J11" s="404"/>
      <c r="K11" s="307">
        <v>1250</v>
      </c>
      <c r="L11" s="404" t="s">
        <v>115</v>
      </c>
      <c r="M11" s="404"/>
      <c r="N11" s="404"/>
      <c r="O11" s="404"/>
      <c r="Q11" s="44"/>
    </row>
    <row r="12" spans="1:18" x14ac:dyDescent="0.25">
      <c r="A12" s="45" t="str">
        <f>'Estimación y Asignacion Costes'!B15</f>
        <v>Asesoría Fiscal/Nóminas</v>
      </c>
      <c r="B12" s="1"/>
      <c r="C12" s="307">
        <f t="shared" si="0"/>
        <v>1500</v>
      </c>
      <c r="D12" s="45">
        <f t="shared" si="1"/>
        <v>1000</v>
      </c>
      <c r="E12" s="45">
        <v>500</v>
      </c>
      <c r="I12" s="404"/>
      <c r="J12" s="404"/>
      <c r="K12" s="52"/>
      <c r="L12" s="404"/>
      <c r="M12" s="404"/>
      <c r="N12" s="404"/>
      <c r="O12" s="404"/>
    </row>
    <row r="13" spans="1:18" ht="15.75" thickBot="1" x14ac:dyDescent="0.3">
      <c r="A13" s="45" t="str">
        <f>'Estimación y Asignacion Costes'!B48</f>
        <v>Fondo  Indemnización</v>
      </c>
      <c r="C13" s="307">
        <f t="shared" si="0"/>
        <v>900</v>
      </c>
      <c r="D13" s="46">
        <f t="shared" si="1"/>
        <v>600</v>
      </c>
      <c r="E13" s="46">
        <v>300</v>
      </c>
      <c r="I13" s="403" t="str">
        <f>I5</f>
        <v>Mod. Contrapesada</v>
      </c>
      <c r="J13" s="403"/>
      <c r="K13" s="52">
        <f>L18</f>
        <v>2.66</v>
      </c>
      <c r="L13" s="405" t="s">
        <v>116</v>
      </c>
      <c r="M13" s="405"/>
      <c r="N13" s="307">
        <v>800</v>
      </c>
      <c r="O13" s="43"/>
    </row>
    <row r="14" spans="1:18" ht="15.75" thickTop="1" x14ac:dyDescent="0.25">
      <c r="A14" s="45" t="s">
        <v>94</v>
      </c>
      <c r="C14" s="45">
        <f>SUM(C5:C13)</f>
        <v>92607.5</v>
      </c>
      <c r="D14" s="45">
        <f t="shared" ref="D14:E14" si="2">SUM(D5:D13)</f>
        <v>61738.333333333336</v>
      </c>
      <c r="E14" s="45">
        <f t="shared" si="2"/>
        <v>30869.166666666668</v>
      </c>
      <c r="I14" s="403" t="str">
        <f>I6</f>
        <v>Mod. Retractil</v>
      </c>
      <c r="J14" s="403"/>
      <c r="K14" s="52">
        <v>1.75</v>
      </c>
      <c r="L14" s="405" t="s">
        <v>71</v>
      </c>
      <c r="M14" s="405"/>
      <c r="N14" s="307">
        <v>500</v>
      </c>
    </row>
    <row r="15" spans="1:18" ht="15.75" thickBot="1" x14ac:dyDescent="0.3">
      <c r="A15" s="1" t="s">
        <v>92</v>
      </c>
      <c r="C15" s="409">
        <f>D15+E15</f>
        <v>5401.8225000000002</v>
      </c>
      <c r="D15" s="409">
        <f>C32*D4</f>
        <v>3601.2150000000001</v>
      </c>
      <c r="E15" s="409">
        <f>E4*C32</f>
        <v>1800.6075000000001</v>
      </c>
      <c r="I15" s="403" t="str">
        <f>I7</f>
        <v>Mod. Apilador</v>
      </c>
      <c r="J15" s="403"/>
      <c r="K15" s="61">
        <v>1.5</v>
      </c>
      <c r="L15" s="405" t="s">
        <v>2</v>
      </c>
      <c r="M15" s="405"/>
      <c r="N15" s="308">
        <v>300</v>
      </c>
    </row>
    <row r="16" spans="1:18" ht="15.75" thickTop="1" x14ac:dyDescent="0.25">
      <c r="A16" s="1" t="s">
        <v>93</v>
      </c>
      <c r="C16" s="409"/>
      <c r="D16" s="409"/>
      <c r="E16" s="409"/>
      <c r="I16" s="1" t="s">
        <v>112</v>
      </c>
      <c r="K16" s="45">
        <f>(K13*Q5)+(Q6*K14)+(Q7*K15)</f>
        <v>3662</v>
      </c>
      <c r="L16" s="403" t="s">
        <v>85</v>
      </c>
      <c r="M16" s="403"/>
      <c r="N16" s="45">
        <f>SUM(N13:N15)</f>
        <v>1600</v>
      </c>
      <c r="O16" s="52">
        <f>N16/Q5</f>
        <v>2.2857142857142856</v>
      </c>
    </row>
    <row r="17" spans="1:14" x14ac:dyDescent="0.25">
      <c r="A17" s="1" t="s">
        <v>106</v>
      </c>
      <c r="C17" s="52">
        <f>C14/C15</f>
        <v>17.143751021067427</v>
      </c>
      <c r="D17" s="52">
        <f>D14/D15</f>
        <v>17.143751021067427</v>
      </c>
      <c r="E17" s="52">
        <f>E14/E15</f>
        <v>17.143751021067427</v>
      </c>
      <c r="I17" s="55" t="s">
        <v>117</v>
      </c>
      <c r="K17" s="56" t="s">
        <v>118</v>
      </c>
      <c r="L17" s="56" t="s">
        <v>119</v>
      </c>
      <c r="M17" s="56" t="s">
        <v>120</v>
      </c>
      <c r="N17" s="56" t="s">
        <v>89</v>
      </c>
    </row>
    <row r="18" spans="1:14" x14ac:dyDescent="0.25">
      <c r="A18" s="1"/>
      <c r="I18" s="403" t="str">
        <f>I13</f>
        <v>Mod. Contrapesada</v>
      </c>
      <c r="J18" s="403"/>
      <c r="K18" s="52">
        <f>R5</f>
        <v>1.0285714285714285</v>
      </c>
      <c r="L18" s="52">
        <v>2.66</v>
      </c>
      <c r="M18" s="52">
        <f>$O$16</f>
        <v>2.2857142857142856</v>
      </c>
      <c r="N18" s="52">
        <f>SUM(K18:M18)</f>
        <v>5.9742857142857142</v>
      </c>
    </row>
    <row r="19" spans="1:14" ht="15" customHeight="1" x14ac:dyDescent="0.25">
      <c r="B19" s="105"/>
      <c r="C19" s="105"/>
      <c r="D19" s="105"/>
      <c r="E19" s="105"/>
      <c r="I19" s="403" t="str">
        <f>I14</f>
        <v>Mod. Retractil</v>
      </c>
      <c r="J19" s="403"/>
      <c r="K19" s="52">
        <f>R6</f>
        <v>0.51111111111111107</v>
      </c>
      <c r="L19" s="52">
        <v>0</v>
      </c>
      <c r="M19" s="52">
        <f>$O$16</f>
        <v>2.2857142857142856</v>
      </c>
      <c r="N19" s="52">
        <f t="shared" ref="N19:N20" si="3">SUM(K19:M19)</f>
        <v>2.7968253968253967</v>
      </c>
    </row>
    <row r="20" spans="1:14" ht="15" customHeight="1" x14ac:dyDescent="0.25">
      <c r="D20" s="105"/>
      <c r="E20" s="105"/>
      <c r="I20" s="403" t="str">
        <f>I15</f>
        <v>Mod. Apilador</v>
      </c>
      <c r="J20" s="403"/>
      <c r="K20" s="52">
        <f>R7</f>
        <v>1.2533333333333334</v>
      </c>
      <c r="L20" s="52">
        <v>0</v>
      </c>
      <c r="M20" s="52">
        <f>$O$16</f>
        <v>2.2857142857142856</v>
      </c>
      <c r="N20" s="52">
        <f t="shared" si="3"/>
        <v>3.539047619047619</v>
      </c>
    </row>
    <row r="21" spans="1:14" x14ac:dyDescent="0.25">
      <c r="A21" s="402" t="s">
        <v>333</v>
      </c>
      <c r="B21" s="402"/>
      <c r="C21" s="402"/>
      <c r="D21" s="43"/>
      <c r="E21" s="43"/>
    </row>
    <row r="22" spans="1:14" x14ac:dyDescent="0.25">
      <c r="A22" s="1" t="s">
        <v>105</v>
      </c>
      <c r="B22" s="51"/>
      <c r="C22" s="43"/>
      <c r="D22" s="43"/>
      <c r="E22" s="43"/>
    </row>
    <row r="23" spans="1:14" x14ac:dyDescent="0.25">
      <c r="A23" s="1" t="s">
        <v>96</v>
      </c>
      <c r="B23" s="1"/>
      <c r="C23" s="49">
        <v>362</v>
      </c>
      <c r="I23" s="47" t="s">
        <v>326</v>
      </c>
      <c r="J23" s="47"/>
      <c r="K23" s="47"/>
      <c r="L23" s="47"/>
      <c r="M23" s="47"/>
      <c r="N23" s="47"/>
    </row>
    <row r="24" spans="1:14" x14ac:dyDescent="0.25">
      <c r="A24" s="1" t="s">
        <v>104</v>
      </c>
      <c r="B24" s="1"/>
      <c r="C24" s="49">
        <v>54</v>
      </c>
      <c r="I24" s="410" t="s">
        <v>340</v>
      </c>
      <c r="J24" s="410"/>
      <c r="K24" s="410"/>
      <c r="L24" s="410"/>
      <c r="M24" s="410"/>
      <c r="N24" s="410"/>
    </row>
    <row r="25" spans="1:14" x14ac:dyDescent="0.25">
      <c r="A25" s="1" t="s">
        <v>97</v>
      </c>
      <c r="B25" s="1"/>
      <c r="C25" s="49">
        <v>17</v>
      </c>
      <c r="K25" s="406" t="s">
        <v>122</v>
      </c>
      <c r="L25" s="406"/>
      <c r="M25" s="406" t="s">
        <v>238</v>
      </c>
      <c r="N25" s="406"/>
    </row>
    <row r="26" spans="1:14" x14ac:dyDescent="0.25">
      <c r="A26" s="1" t="s">
        <v>98</v>
      </c>
      <c r="B26" s="1"/>
      <c r="C26" s="49">
        <v>27</v>
      </c>
      <c r="I26" s="413" t="s">
        <v>37</v>
      </c>
      <c r="J26" s="413"/>
      <c r="K26" s="414">
        <v>0.5</v>
      </c>
      <c r="L26" s="414"/>
      <c r="M26" s="407">
        <v>1</v>
      </c>
      <c r="N26" s="407"/>
    </row>
    <row r="27" spans="1:14" x14ac:dyDescent="0.25">
      <c r="A27" s="1" t="s">
        <v>99</v>
      </c>
      <c r="B27" s="1"/>
      <c r="C27" s="49">
        <v>15</v>
      </c>
      <c r="I27" t="s">
        <v>332</v>
      </c>
      <c r="K27" s="415">
        <f>'Actvidad de la Empresa'!J14</f>
        <v>10950</v>
      </c>
      <c r="L27" s="415"/>
      <c r="M27" s="416">
        <f>'Actvidad de la Empresa'!K14</f>
        <v>25546.350000000002</v>
      </c>
      <c r="N27" s="416"/>
    </row>
    <row r="28" spans="1:14" x14ac:dyDescent="0.25">
      <c r="A28" s="1" t="s">
        <v>100</v>
      </c>
      <c r="B28" s="1"/>
      <c r="C28" s="49">
        <v>12</v>
      </c>
      <c r="I28" t="s">
        <v>327</v>
      </c>
      <c r="J28" s="260"/>
      <c r="L28" s="411">
        <f>(K27*K26)+(M27*M26)</f>
        <v>31021.350000000002</v>
      </c>
      <c r="M28" s="411"/>
    </row>
    <row r="29" spans="1:14" x14ac:dyDescent="0.25">
      <c r="A29" s="1" t="s">
        <v>101</v>
      </c>
      <c r="B29" s="1"/>
      <c r="C29" s="49">
        <f>C23-C24-C25-C26-C27-C28</f>
        <v>237</v>
      </c>
      <c r="I29" t="s">
        <v>328</v>
      </c>
      <c r="L29" s="411">
        <v>5979</v>
      </c>
      <c r="M29" s="411"/>
    </row>
    <row r="30" spans="1:14" x14ac:dyDescent="0.25">
      <c r="A30" s="1" t="s">
        <v>102</v>
      </c>
      <c r="B30" s="1"/>
      <c r="C30" s="50">
        <v>8</v>
      </c>
      <c r="J30" s="417" t="s">
        <v>85</v>
      </c>
      <c r="K30" s="417"/>
      <c r="L30" s="412">
        <f>SUM(L28:M29)</f>
        <v>37000.350000000006</v>
      </c>
      <c r="M30" s="412"/>
    </row>
    <row r="31" spans="1:14" x14ac:dyDescent="0.25">
      <c r="A31" s="1" t="s">
        <v>107</v>
      </c>
      <c r="C31" s="53">
        <v>0.40250000000000002</v>
      </c>
      <c r="D31" s="50"/>
      <c r="E31" s="50"/>
    </row>
    <row r="32" spans="1:14" x14ac:dyDescent="0.25">
      <c r="A32" s="1" t="s">
        <v>103</v>
      </c>
      <c r="B32" s="1"/>
      <c r="C32" s="50">
        <f>(C30-C31)*C29</f>
        <v>1800.6075000000001</v>
      </c>
    </row>
    <row r="39" spans="15:15" x14ac:dyDescent="0.25">
      <c r="O39" s="44"/>
    </row>
  </sheetData>
  <mergeCells count="41">
    <mergeCell ref="L28:M28"/>
    <mergeCell ref="L29:M29"/>
    <mergeCell ref="L30:M30"/>
    <mergeCell ref="I26:J26"/>
    <mergeCell ref="K26:L26"/>
    <mergeCell ref="K27:L27"/>
    <mergeCell ref="M27:N27"/>
    <mergeCell ref="J30:K30"/>
    <mergeCell ref="I20:J20"/>
    <mergeCell ref="L14:M14"/>
    <mergeCell ref="L15:M15"/>
    <mergeCell ref="I18:J18"/>
    <mergeCell ref="I24:N24"/>
    <mergeCell ref="I19:J19"/>
    <mergeCell ref="A2:E2"/>
    <mergeCell ref="C15:C16"/>
    <mergeCell ref="D15:D16"/>
    <mergeCell ref="E15:E16"/>
    <mergeCell ref="I11:J12"/>
    <mergeCell ref="L8:N8"/>
    <mergeCell ref="L11:O12"/>
    <mergeCell ref="K25:L25"/>
    <mergeCell ref="M25:N25"/>
    <mergeCell ref="M26:N26"/>
    <mergeCell ref="L16:M16"/>
    <mergeCell ref="A21:C21"/>
    <mergeCell ref="I14:J14"/>
    <mergeCell ref="I15:J15"/>
    <mergeCell ref="R3:R4"/>
    <mergeCell ref="Q3:Q4"/>
    <mergeCell ref="I13:J13"/>
    <mergeCell ref="I6:J6"/>
    <mergeCell ref="I7:J7"/>
    <mergeCell ref="N3:N4"/>
    <mergeCell ref="O3:O4"/>
    <mergeCell ref="K3:K4"/>
    <mergeCell ref="L3:L4"/>
    <mergeCell ref="M3:M4"/>
    <mergeCell ref="P3:P4"/>
    <mergeCell ref="I5:J5"/>
    <mergeCell ref="L13:M13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14" formula="1"/>
    <ignoredError sqref="E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="130" zoomScaleNormal="130" workbookViewId="0">
      <selection activeCell="H85" sqref="H85"/>
    </sheetView>
  </sheetViews>
  <sheetFormatPr baseColWidth="10" defaultRowHeight="15" x14ac:dyDescent="0.25"/>
  <cols>
    <col min="1" max="1" width="11.7109375" customWidth="1"/>
    <col min="2" max="2" width="10.7109375" customWidth="1"/>
    <col min="3" max="3" width="9.140625" customWidth="1"/>
    <col min="4" max="4" width="9" customWidth="1"/>
    <col min="5" max="5" width="8.7109375" customWidth="1"/>
    <col min="10" max="10" width="12.42578125" customWidth="1"/>
    <col min="11" max="11" width="8.7109375" customWidth="1"/>
    <col min="12" max="12" width="8.5703125" customWidth="1"/>
    <col min="13" max="13" width="7.28515625" customWidth="1"/>
    <col min="14" max="14" width="11.28515625" customWidth="1"/>
    <col min="15" max="15" width="8" customWidth="1"/>
    <col min="16" max="16" width="7.28515625" customWidth="1"/>
    <col min="17" max="17" width="11.28515625" customWidth="1"/>
    <col min="18" max="18" width="8.28515625" customWidth="1"/>
  </cols>
  <sheetData>
    <row r="1" spans="1:17" x14ac:dyDescent="0.25">
      <c r="A1" s="47" t="s">
        <v>132</v>
      </c>
      <c r="B1" s="48"/>
      <c r="C1" s="48"/>
      <c r="D1" s="48"/>
      <c r="E1" s="48"/>
      <c r="F1" s="48"/>
      <c r="I1" s="47" t="s">
        <v>134</v>
      </c>
      <c r="J1" s="47"/>
      <c r="K1" s="47"/>
      <c r="L1" s="47"/>
      <c r="M1" s="47"/>
      <c r="N1" s="47"/>
    </row>
    <row r="2" spans="1:17" x14ac:dyDescent="0.25">
      <c r="A2" s="408" t="s">
        <v>91</v>
      </c>
      <c r="B2" s="408"/>
      <c r="C2" s="408"/>
      <c r="D2" s="408"/>
      <c r="E2" s="408"/>
      <c r="I2" t="s">
        <v>133</v>
      </c>
      <c r="O2" t="s">
        <v>148</v>
      </c>
    </row>
    <row r="3" spans="1:17" x14ac:dyDescent="0.25">
      <c r="C3" s="63" t="s">
        <v>89</v>
      </c>
      <c r="D3" s="63" t="s">
        <v>130</v>
      </c>
      <c r="E3" s="63" t="s">
        <v>88</v>
      </c>
      <c r="F3" s="444" t="s">
        <v>140</v>
      </c>
      <c r="G3" s="444"/>
      <c r="H3" s="444"/>
    </row>
    <row r="4" spans="1:17" x14ac:dyDescent="0.25">
      <c r="A4" s="1" t="s">
        <v>90</v>
      </c>
      <c r="B4" s="1"/>
      <c r="C4" s="63">
        <f>SUM(D4:E4)</f>
        <v>4</v>
      </c>
      <c r="D4" s="63">
        <v>3</v>
      </c>
      <c r="E4" s="63">
        <v>1</v>
      </c>
      <c r="I4" s="449" t="s">
        <v>136</v>
      </c>
      <c r="J4" s="450"/>
      <c r="K4" s="447" t="s">
        <v>129</v>
      </c>
      <c r="L4" s="447" t="s">
        <v>111</v>
      </c>
      <c r="M4" s="447" t="s">
        <v>126</v>
      </c>
      <c r="N4" s="447" t="s">
        <v>137</v>
      </c>
      <c r="O4" s="432" t="s">
        <v>83</v>
      </c>
      <c r="P4" s="433"/>
      <c r="Q4" s="313" t="s">
        <v>149</v>
      </c>
    </row>
    <row r="5" spans="1:17" x14ac:dyDescent="0.25">
      <c r="A5" s="1" t="str">
        <f>'Estimación y Asignacion Costes'!B32</f>
        <v>Sueldos y Salarios</v>
      </c>
      <c r="B5" s="1"/>
      <c r="C5" s="307">
        <f>D5+E5</f>
        <v>92419.166666666672</v>
      </c>
      <c r="D5" s="45">
        <v>74250</v>
      </c>
      <c r="E5" s="45">
        <v>18169.166666666668</v>
      </c>
      <c r="F5" s="1" t="s">
        <v>131</v>
      </c>
      <c r="G5" s="45">
        <f>D14-D7</f>
        <v>124630</v>
      </c>
      <c r="H5" s="45">
        <f>G5/5</f>
        <v>24926</v>
      </c>
      <c r="I5" s="451"/>
      <c r="J5" s="452"/>
      <c r="K5" s="448"/>
      <c r="L5" s="448"/>
      <c r="M5" s="448"/>
      <c r="N5" s="448"/>
      <c r="O5" s="445" t="s">
        <v>150</v>
      </c>
      <c r="P5" s="446"/>
      <c r="Q5" s="314">
        <v>200</v>
      </c>
    </row>
    <row r="6" spans="1:17" ht="15.75" thickBot="1" x14ac:dyDescent="0.3">
      <c r="A6" s="1" t="str">
        <f>'Estimación y Asignacion Costes'!B33</f>
        <v>Seguridad Social</v>
      </c>
      <c r="B6" s="1"/>
      <c r="C6" s="307">
        <f t="shared" ref="C6:C13" si="0">D6+E6</f>
        <v>44480</v>
      </c>
      <c r="D6" s="45">
        <v>35480</v>
      </c>
      <c r="E6" s="45">
        <v>9000</v>
      </c>
      <c r="F6" s="1" t="s">
        <v>125</v>
      </c>
      <c r="G6" s="46">
        <f>D7</f>
        <v>5700</v>
      </c>
      <c r="H6" s="46">
        <f>G6/5</f>
        <v>1140</v>
      </c>
      <c r="I6" s="453" t="s">
        <v>135</v>
      </c>
      <c r="J6" s="9" t="s">
        <v>127</v>
      </c>
      <c r="K6" s="71">
        <v>95500</v>
      </c>
      <c r="L6" s="74">
        <f>0.2*K6</f>
        <v>19100</v>
      </c>
      <c r="M6" s="75">
        <v>15</v>
      </c>
      <c r="N6" s="71">
        <f>(K6-L6)/M6</f>
        <v>5093.333333333333</v>
      </c>
      <c r="O6" s="427" t="s">
        <v>84</v>
      </c>
      <c r="P6" s="428"/>
      <c r="Q6" s="314">
        <v>100</v>
      </c>
    </row>
    <row r="7" spans="1:17" ht="16.5" thickTop="1" thickBot="1" x14ac:dyDescent="0.3">
      <c r="A7" s="1" t="str">
        <f>'Estimación y Asignacion Costes'!B34</f>
        <v>Dietas y Plus</v>
      </c>
      <c r="B7" s="1"/>
      <c r="C7" s="307">
        <f t="shared" si="0"/>
        <v>6900</v>
      </c>
      <c r="D7" s="45">
        <v>5700</v>
      </c>
      <c r="E7" s="45">
        <v>1200</v>
      </c>
      <c r="G7" s="45">
        <f>SUM(G5:G6)</f>
        <v>130330</v>
      </c>
      <c r="I7" s="454"/>
      <c r="J7" s="10" t="s">
        <v>128</v>
      </c>
      <c r="K7" s="72">
        <v>20927.5</v>
      </c>
      <c r="L7" s="72">
        <f>0.2*K7</f>
        <v>4185.5</v>
      </c>
      <c r="M7" s="76">
        <v>25</v>
      </c>
      <c r="N7" s="72">
        <f>(K7-L7)/M7</f>
        <v>669.68</v>
      </c>
      <c r="O7" s="427" t="s">
        <v>17</v>
      </c>
      <c r="P7" s="428"/>
      <c r="Q7" s="314">
        <v>75</v>
      </c>
    </row>
    <row r="8" spans="1:17" ht="15.75" thickTop="1" x14ac:dyDescent="0.25">
      <c r="A8" s="1" t="str">
        <f>'Estimación y Asignacion Costes'!B35</f>
        <v>Mutuas y Otros</v>
      </c>
      <c r="B8" s="1"/>
      <c r="C8" s="307">
        <f t="shared" si="0"/>
        <v>2800</v>
      </c>
      <c r="D8" s="45">
        <v>2100</v>
      </c>
      <c r="E8" s="45">
        <v>700</v>
      </c>
      <c r="F8" s="44"/>
      <c r="G8" s="44"/>
      <c r="I8" s="455"/>
      <c r="J8" s="70" t="s">
        <v>85</v>
      </c>
      <c r="K8" s="73">
        <f>SUM(K6:K7)</f>
        <v>116427.5</v>
      </c>
      <c r="L8" s="73">
        <f>SUM(L6:L7)</f>
        <v>23285.5</v>
      </c>
      <c r="M8" s="77"/>
      <c r="N8" s="73">
        <f>SUM(N6:N7)</f>
        <v>5763.0133333333333</v>
      </c>
      <c r="O8" s="427" t="s">
        <v>152</v>
      </c>
      <c r="P8" s="428"/>
      <c r="Q8" s="314">
        <v>300</v>
      </c>
    </row>
    <row r="9" spans="1:17" x14ac:dyDescent="0.25">
      <c r="A9" s="1" t="str">
        <f>'Estimación y Asignacion Costes'!B36</f>
        <v>Vestuario</v>
      </c>
      <c r="B9" s="1"/>
      <c r="C9" s="307">
        <f t="shared" si="0"/>
        <v>7000</v>
      </c>
      <c r="D9" s="45">
        <v>7000</v>
      </c>
      <c r="E9" s="45">
        <v>0</v>
      </c>
      <c r="F9" s="44"/>
      <c r="G9" s="44"/>
      <c r="I9" s="439" t="s">
        <v>139</v>
      </c>
      <c r="J9" s="441" t="s">
        <v>138</v>
      </c>
      <c r="K9" s="420">
        <v>18000</v>
      </c>
      <c r="L9" s="420">
        <v>6000</v>
      </c>
      <c r="M9" s="422">
        <v>15</v>
      </c>
      <c r="N9" s="420">
        <f>(K9-L9)/M9</f>
        <v>800</v>
      </c>
      <c r="O9" s="427" t="s">
        <v>153</v>
      </c>
      <c r="P9" s="428"/>
      <c r="Q9" s="314">
        <v>100</v>
      </c>
    </row>
    <row r="10" spans="1:17" x14ac:dyDescent="0.25">
      <c r="A10" s="1" t="str">
        <f>'Estimación y Asignacion Costes'!B37</f>
        <v>Fondo de Pensiones</v>
      </c>
      <c r="B10" s="1"/>
      <c r="C10" s="307">
        <f t="shared" si="0"/>
        <v>1200</v>
      </c>
      <c r="D10" s="45">
        <v>900</v>
      </c>
      <c r="E10" s="45">
        <v>300</v>
      </c>
      <c r="F10" s="44"/>
      <c r="G10" s="44"/>
      <c r="I10" s="440"/>
      <c r="J10" s="442"/>
      <c r="K10" s="421"/>
      <c r="L10" s="421"/>
      <c r="M10" s="423"/>
      <c r="N10" s="421"/>
      <c r="O10" s="427" t="s">
        <v>20</v>
      </c>
      <c r="P10" s="428"/>
      <c r="Q10" s="314">
        <v>50</v>
      </c>
    </row>
    <row r="11" spans="1:17" ht="15" customHeight="1" x14ac:dyDescent="0.25">
      <c r="A11" s="1" t="str">
        <f>'Estimación y Asignacion Costes'!B38</f>
        <v>Otras Gtos Sociales</v>
      </c>
      <c r="B11" s="1"/>
      <c r="C11" s="307">
        <f t="shared" si="0"/>
        <v>3200</v>
      </c>
      <c r="D11" s="45">
        <v>2500</v>
      </c>
      <c r="E11" s="45">
        <v>700</v>
      </c>
      <c r="F11" s="44"/>
      <c r="G11" s="44"/>
      <c r="I11" s="439" t="s">
        <v>141</v>
      </c>
      <c r="J11" s="441" t="s">
        <v>142</v>
      </c>
      <c r="K11" s="420">
        <v>30000</v>
      </c>
      <c r="L11" s="420">
        <v>10000</v>
      </c>
      <c r="M11" s="422">
        <v>15</v>
      </c>
      <c r="N11" s="420">
        <f>(K11-L11)/M11</f>
        <v>1333.3333333333333</v>
      </c>
      <c r="O11" s="429" t="s">
        <v>151</v>
      </c>
      <c r="P11" s="430"/>
      <c r="Q11" s="314">
        <v>850</v>
      </c>
    </row>
    <row r="12" spans="1:17" x14ac:dyDescent="0.25">
      <c r="A12" s="45" t="str">
        <f>'Estimación y Asignacion Costes'!B15</f>
        <v>Asesoría Fiscal/Nóminas</v>
      </c>
      <c r="B12" s="1"/>
      <c r="C12" s="307">
        <f t="shared" si="0"/>
        <v>2000</v>
      </c>
      <c r="D12" s="45">
        <v>1500</v>
      </c>
      <c r="E12" s="45">
        <v>500</v>
      </c>
      <c r="F12" s="44"/>
      <c r="G12" s="44"/>
      <c r="I12" s="440"/>
      <c r="J12" s="442"/>
      <c r="K12" s="421"/>
      <c r="L12" s="421"/>
      <c r="M12" s="423"/>
      <c r="N12" s="421"/>
      <c r="O12" s="432" t="s">
        <v>89</v>
      </c>
      <c r="P12" s="433"/>
      <c r="Q12" s="73">
        <f>SUM(Q5:Q11)</f>
        <v>1675</v>
      </c>
    </row>
    <row r="13" spans="1:17" ht="15.75" thickBot="1" x14ac:dyDescent="0.3">
      <c r="A13" s="45" t="str">
        <f>'Estimación y Asignacion Costes'!B48</f>
        <v>Fondo  Indemnización</v>
      </c>
      <c r="C13" s="307">
        <f t="shared" si="0"/>
        <v>1200</v>
      </c>
      <c r="D13" s="46">
        <v>900</v>
      </c>
      <c r="E13" s="46">
        <v>300</v>
      </c>
      <c r="F13" s="44"/>
      <c r="G13" s="44"/>
      <c r="I13" s="439" t="s">
        <v>144</v>
      </c>
      <c r="J13" s="441" t="s">
        <v>143</v>
      </c>
      <c r="K13" s="420">
        <v>25000</v>
      </c>
      <c r="L13" s="420">
        <v>10000</v>
      </c>
      <c r="M13" s="422">
        <v>15</v>
      </c>
      <c r="N13" s="420">
        <f>(K13-L13)/M13</f>
        <v>1000</v>
      </c>
    </row>
    <row r="14" spans="1:17" ht="15.75" thickTop="1" x14ac:dyDescent="0.25">
      <c r="A14" s="45" t="s">
        <v>94</v>
      </c>
      <c r="C14" s="45">
        <f>SUM(C5:C13)</f>
        <v>161199.16666666669</v>
      </c>
      <c r="D14" s="45">
        <f t="shared" ref="D14:E14" si="1">SUM(D5:D13)</f>
        <v>130330</v>
      </c>
      <c r="E14" s="45">
        <f t="shared" si="1"/>
        <v>30869.166666666668</v>
      </c>
      <c r="F14" s="44"/>
      <c r="I14" s="440"/>
      <c r="J14" s="442"/>
      <c r="K14" s="421"/>
      <c r="L14" s="421"/>
      <c r="M14" s="423"/>
      <c r="N14" s="421"/>
    </row>
    <row r="15" spans="1:17" x14ac:dyDescent="0.25">
      <c r="A15" s="1" t="s">
        <v>92</v>
      </c>
      <c r="C15" s="409">
        <f>D15+E15</f>
        <v>7202.43</v>
      </c>
      <c r="D15" s="409">
        <f>C30*D4</f>
        <v>5401.8225000000002</v>
      </c>
      <c r="E15" s="409">
        <f>E4*C30</f>
        <v>1800.6075000000001</v>
      </c>
      <c r="F15" s="44"/>
      <c r="I15" s="439" t="s">
        <v>146</v>
      </c>
      <c r="J15" s="441" t="s">
        <v>147</v>
      </c>
      <c r="K15" s="420">
        <v>17000</v>
      </c>
      <c r="L15" s="420">
        <v>5000</v>
      </c>
      <c r="M15" s="422">
        <v>15</v>
      </c>
      <c r="N15" s="420">
        <f>(K15-L15)/M15</f>
        <v>800</v>
      </c>
    </row>
    <row r="16" spans="1:17" x14ac:dyDescent="0.25">
      <c r="A16" s="1" t="s">
        <v>93</v>
      </c>
      <c r="C16" s="409"/>
      <c r="D16" s="409"/>
      <c r="E16" s="409"/>
      <c r="F16" s="44"/>
      <c r="I16" s="440"/>
      <c r="J16" s="442"/>
      <c r="K16" s="421"/>
      <c r="L16" s="421"/>
      <c r="M16" s="423"/>
      <c r="N16" s="421"/>
    </row>
    <row r="17" spans="1:16" x14ac:dyDescent="0.25">
      <c r="A17" s="1" t="s">
        <v>106</v>
      </c>
      <c r="C17" s="52">
        <f>C14/C15</f>
        <v>22.381219486571432</v>
      </c>
      <c r="D17" s="52">
        <f>D14/D15</f>
        <v>24.127042308406097</v>
      </c>
      <c r="E17" s="52">
        <f>E14/E15</f>
        <v>17.143751021067427</v>
      </c>
      <c r="I17" s="434" t="s">
        <v>145</v>
      </c>
      <c r="J17" s="434"/>
      <c r="N17" s="312">
        <f>N8+N9+N11+N13+N15</f>
        <v>9696.3466666666664</v>
      </c>
    </row>
    <row r="18" spans="1:16" x14ac:dyDescent="0.25">
      <c r="A18" s="1"/>
    </row>
    <row r="19" spans="1:16" ht="15" customHeight="1" x14ac:dyDescent="0.25">
      <c r="A19" s="443" t="s">
        <v>95</v>
      </c>
      <c r="B19" s="443"/>
      <c r="C19" s="443"/>
      <c r="D19" s="105"/>
      <c r="E19" s="105"/>
      <c r="I19" s="431" t="s">
        <v>154</v>
      </c>
      <c r="J19" s="431"/>
      <c r="K19" s="431"/>
      <c r="L19" s="431"/>
    </row>
    <row r="20" spans="1:16" x14ac:dyDescent="0.25">
      <c r="A20" s="443"/>
      <c r="B20" s="443"/>
      <c r="C20" s="443"/>
      <c r="D20" s="105"/>
      <c r="E20" s="105"/>
      <c r="I20" s="431"/>
      <c r="J20" s="431"/>
      <c r="K20" s="431"/>
      <c r="L20" s="431"/>
    </row>
    <row r="21" spans="1:16" x14ac:dyDescent="0.25">
      <c r="A21" s="1" t="s">
        <v>96</v>
      </c>
      <c r="B21" s="1"/>
      <c r="C21" s="49">
        <v>362</v>
      </c>
      <c r="D21" s="63"/>
      <c r="E21" s="63"/>
      <c r="I21" s="2" t="s">
        <v>83</v>
      </c>
      <c r="J21" s="2" t="s">
        <v>155</v>
      </c>
    </row>
    <row r="22" spans="1:16" x14ac:dyDescent="0.25">
      <c r="A22" s="1" t="s">
        <v>104</v>
      </c>
      <c r="B22" s="1"/>
      <c r="C22" s="49">
        <v>54</v>
      </c>
      <c r="D22" s="63"/>
      <c r="E22" s="63"/>
      <c r="I22" s="65" t="str">
        <f>I6</f>
        <v>5448DJJ</v>
      </c>
      <c r="J22" s="65">
        <v>1601</v>
      </c>
      <c r="K22" s="66"/>
    </row>
    <row r="23" spans="1:16" ht="15.75" customHeight="1" x14ac:dyDescent="0.25">
      <c r="A23" s="1" t="s">
        <v>97</v>
      </c>
      <c r="B23" s="1"/>
      <c r="C23" s="49">
        <v>17</v>
      </c>
      <c r="I23" s="2" t="str">
        <f>I9</f>
        <v>9853CXD</v>
      </c>
      <c r="J23" s="65">
        <v>450</v>
      </c>
    </row>
    <row r="24" spans="1:16" ht="15.75" thickBot="1" x14ac:dyDescent="0.3">
      <c r="A24" s="1" t="s">
        <v>98</v>
      </c>
      <c r="B24" s="1"/>
      <c r="C24" s="49">
        <v>27</v>
      </c>
      <c r="G24" s="44"/>
      <c r="I24" s="2" t="str">
        <f>I13</f>
        <v>6548FST</v>
      </c>
      <c r="J24" s="78">
        <v>450</v>
      </c>
    </row>
    <row r="25" spans="1:16" ht="15.75" thickTop="1" x14ac:dyDescent="0.25">
      <c r="A25" s="1" t="s">
        <v>99</v>
      </c>
      <c r="B25" s="1"/>
      <c r="C25" s="49">
        <v>15</v>
      </c>
      <c r="I25" s="2" t="s">
        <v>85</v>
      </c>
      <c r="J25" s="65">
        <f>SUM(J22:J24)</f>
        <v>2501</v>
      </c>
    </row>
    <row r="26" spans="1:16" x14ac:dyDescent="0.25">
      <c r="A26" s="1" t="s">
        <v>100</v>
      </c>
      <c r="B26" s="1"/>
      <c r="C26" s="49">
        <v>12</v>
      </c>
    </row>
    <row r="27" spans="1:16" x14ac:dyDescent="0.25">
      <c r="A27" s="1" t="s">
        <v>101</v>
      </c>
      <c r="B27" s="1"/>
      <c r="C27" s="49">
        <f>C21-C22-C23-C24-C25-C26</f>
        <v>237</v>
      </c>
      <c r="G27" s="44"/>
      <c r="I27" s="47" t="s">
        <v>158</v>
      </c>
      <c r="J27" s="47"/>
    </row>
    <row r="28" spans="1:16" x14ac:dyDescent="0.25">
      <c r="A28" s="1" t="s">
        <v>102</v>
      </c>
      <c r="B28" s="1"/>
      <c r="C28" s="50">
        <v>8</v>
      </c>
      <c r="I28" s="435" t="s">
        <v>83</v>
      </c>
      <c r="J28" s="435"/>
      <c r="K28" s="2" t="s">
        <v>160</v>
      </c>
      <c r="L28" s="435" t="s">
        <v>161</v>
      </c>
      <c r="M28" s="435"/>
      <c r="N28" s="435"/>
      <c r="O28" s="435"/>
    </row>
    <row r="29" spans="1:16" x14ac:dyDescent="0.25">
      <c r="A29" s="1" t="s">
        <v>107</v>
      </c>
      <c r="C29" s="53">
        <v>0.40250000000000002</v>
      </c>
      <c r="I29" s="79" t="s">
        <v>157</v>
      </c>
      <c r="J29" s="80"/>
      <c r="K29" s="81">
        <v>1500</v>
      </c>
      <c r="L29" s="82" t="s">
        <v>162</v>
      </c>
      <c r="M29" s="80"/>
      <c r="N29" s="80"/>
      <c r="O29" s="80"/>
      <c r="P29" s="41"/>
    </row>
    <row r="30" spans="1:16" x14ac:dyDescent="0.25">
      <c r="A30" s="1" t="s">
        <v>103</v>
      </c>
      <c r="B30" s="1"/>
      <c r="C30" s="50">
        <f>(C28-C29)*C27</f>
        <v>1800.6075000000001</v>
      </c>
      <c r="I30" s="79" t="s">
        <v>159</v>
      </c>
      <c r="J30" s="83" t="str">
        <f>I6</f>
        <v>5448DJJ</v>
      </c>
      <c r="K30" s="84">
        <v>6111</v>
      </c>
      <c r="L30" s="360" t="s">
        <v>339</v>
      </c>
      <c r="M30" s="361"/>
      <c r="N30" s="361"/>
      <c r="O30" s="361"/>
      <c r="P30" s="436"/>
    </row>
    <row r="31" spans="1:16" x14ac:dyDescent="0.25">
      <c r="I31" s="79" t="s">
        <v>159</v>
      </c>
      <c r="J31" s="83" t="str">
        <f>I9</f>
        <v>9853CXD</v>
      </c>
      <c r="K31" s="84">
        <v>1200</v>
      </c>
      <c r="L31" s="362"/>
      <c r="M31" s="363"/>
      <c r="N31" s="363"/>
      <c r="O31" s="363"/>
      <c r="P31" s="437"/>
    </row>
    <row r="32" spans="1:16" x14ac:dyDescent="0.25">
      <c r="I32" s="79" t="s">
        <v>159</v>
      </c>
      <c r="J32" s="83" t="str">
        <f>I11</f>
        <v>2343BCD</v>
      </c>
      <c r="K32" s="84">
        <v>1350</v>
      </c>
      <c r="L32" s="362"/>
      <c r="M32" s="363"/>
      <c r="N32" s="363"/>
      <c r="O32" s="363"/>
      <c r="P32" s="437"/>
    </row>
    <row r="33" spans="1:17" x14ac:dyDescent="0.25">
      <c r="I33" s="79" t="s">
        <v>159</v>
      </c>
      <c r="J33" s="83" t="str">
        <f>I13</f>
        <v>6548FST</v>
      </c>
      <c r="K33" s="84">
        <v>600</v>
      </c>
      <c r="L33" s="362"/>
      <c r="M33" s="363"/>
      <c r="N33" s="363"/>
      <c r="O33" s="363"/>
      <c r="P33" s="437"/>
    </row>
    <row r="34" spans="1:17" x14ac:dyDescent="0.25">
      <c r="A34" s="69"/>
      <c r="E34" s="243"/>
      <c r="F34" s="243"/>
      <c r="G34" s="243"/>
      <c r="I34" s="79" t="s">
        <v>159</v>
      </c>
      <c r="J34" s="83" t="str">
        <f>I15</f>
        <v>2312BTT</v>
      </c>
      <c r="K34" s="84">
        <v>725</v>
      </c>
      <c r="L34" s="364"/>
      <c r="M34" s="365"/>
      <c r="N34" s="365"/>
      <c r="O34" s="365"/>
      <c r="P34" s="438"/>
    </row>
    <row r="35" spans="1:17" x14ac:dyDescent="0.25">
      <c r="C35" s="1"/>
      <c r="D35" s="1"/>
      <c r="E35" s="243"/>
      <c r="F35" s="243"/>
      <c r="G35" s="243"/>
      <c r="J35" s="67" t="s">
        <v>85</v>
      </c>
      <c r="K35" s="310">
        <f>SUM(K29:K34)</f>
        <v>11486</v>
      </c>
    </row>
    <row r="36" spans="1:17" x14ac:dyDescent="0.25">
      <c r="C36" s="1"/>
      <c r="D36" s="1"/>
      <c r="E36" s="45"/>
      <c r="F36" s="45"/>
      <c r="G36" s="45"/>
      <c r="I36" s="426" t="s">
        <v>192</v>
      </c>
      <c r="J36" s="426"/>
      <c r="K36" s="426"/>
      <c r="L36" s="426"/>
      <c r="M36" s="426"/>
      <c r="N36" s="426"/>
      <c r="O36" s="426"/>
      <c r="P36" s="426"/>
    </row>
    <row r="37" spans="1:17" x14ac:dyDescent="0.25">
      <c r="C37" s="1"/>
      <c r="D37" s="1"/>
      <c r="E37" s="45"/>
      <c r="F37" s="45"/>
      <c r="G37" s="45"/>
      <c r="J37" s="67"/>
      <c r="K37" s="65"/>
    </row>
    <row r="38" spans="1:17" x14ac:dyDescent="0.25">
      <c r="C38" s="1"/>
      <c r="D38" s="1"/>
      <c r="E38" s="45"/>
      <c r="F38" s="45"/>
      <c r="G38" s="45"/>
    </row>
    <row r="39" spans="1:17" x14ac:dyDescent="0.25">
      <c r="C39" s="1"/>
      <c r="D39" s="1"/>
      <c r="E39" s="45"/>
      <c r="F39" s="45"/>
      <c r="G39" s="45"/>
      <c r="I39" s="47" t="s">
        <v>170</v>
      </c>
      <c r="J39" s="47"/>
      <c r="K39" s="47"/>
    </row>
    <row r="40" spans="1:17" x14ac:dyDescent="0.25">
      <c r="C40" s="1"/>
      <c r="D40" s="1"/>
      <c r="E40" s="45"/>
      <c r="F40" s="45"/>
      <c r="G40" s="45"/>
      <c r="I40" s="424" t="s">
        <v>164</v>
      </c>
      <c r="J40" s="424"/>
      <c r="K40" s="63" t="s">
        <v>169</v>
      </c>
      <c r="L40" s="68" t="str">
        <f>J30</f>
        <v>5448DJJ</v>
      </c>
      <c r="M40" s="68" t="str">
        <f>J31</f>
        <v>9853CXD</v>
      </c>
      <c r="N40" s="68" t="str">
        <f>J32</f>
        <v>2343BCD</v>
      </c>
      <c r="O40" s="45" t="str">
        <f>J33</f>
        <v>6548FST</v>
      </c>
      <c r="P40" s="45" t="str">
        <f>J34</f>
        <v>2312BTT</v>
      </c>
    </row>
    <row r="41" spans="1:17" x14ac:dyDescent="0.25">
      <c r="C41" s="1"/>
      <c r="D41" s="1"/>
      <c r="E41" s="45"/>
      <c r="F41" s="45"/>
      <c r="G41" s="45"/>
      <c r="I41" s="2" t="s">
        <v>168</v>
      </c>
      <c r="K41" s="310">
        <v>1200</v>
      </c>
      <c r="L41" s="65"/>
      <c r="M41" s="65"/>
      <c r="N41" s="65"/>
      <c r="O41" s="65"/>
      <c r="P41" s="65"/>
    </row>
    <row r="42" spans="1:17" x14ac:dyDescent="0.25">
      <c r="C42" s="1"/>
      <c r="D42" s="1"/>
      <c r="E42" s="45"/>
      <c r="F42" s="45"/>
      <c r="G42" s="45"/>
      <c r="I42" s="2" t="s">
        <v>203</v>
      </c>
      <c r="K42" s="65"/>
      <c r="L42" s="65">
        <v>338</v>
      </c>
      <c r="M42" s="65">
        <v>330</v>
      </c>
      <c r="N42" s="65">
        <v>310</v>
      </c>
      <c r="O42" s="65">
        <v>250</v>
      </c>
      <c r="P42" s="65">
        <v>250</v>
      </c>
    </row>
    <row r="43" spans="1:17" x14ac:dyDescent="0.25">
      <c r="C43" s="45"/>
      <c r="D43" s="1"/>
      <c r="I43" s="2" t="s">
        <v>165</v>
      </c>
      <c r="K43" s="65"/>
      <c r="L43" s="65">
        <v>75</v>
      </c>
      <c r="M43" s="65">
        <v>50</v>
      </c>
      <c r="N43" s="65">
        <v>45</v>
      </c>
      <c r="O43" s="65">
        <v>0</v>
      </c>
      <c r="P43" s="65">
        <v>45</v>
      </c>
    </row>
    <row r="44" spans="1:17" x14ac:dyDescent="0.25">
      <c r="C44" s="45"/>
      <c r="I44" s="2" t="s">
        <v>166</v>
      </c>
      <c r="K44" s="65"/>
      <c r="L44" s="65">
        <v>1</v>
      </c>
      <c r="M44" s="65">
        <v>1</v>
      </c>
      <c r="N44" s="65">
        <v>1</v>
      </c>
      <c r="O44" s="65">
        <v>1</v>
      </c>
      <c r="P44" s="65">
        <v>1</v>
      </c>
    </row>
    <row r="45" spans="1:17" x14ac:dyDescent="0.25">
      <c r="C45" s="45"/>
      <c r="I45" s="2" t="s">
        <v>167</v>
      </c>
      <c r="L45">
        <v>328</v>
      </c>
      <c r="M45" s="65">
        <v>250</v>
      </c>
      <c r="N45">
        <v>250</v>
      </c>
      <c r="O45">
        <v>210</v>
      </c>
      <c r="P45">
        <v>210</v>
      </c>
    </row>
    <row r="46" spans="1:17" ht="15.75" thickBot="1" x14ac:dyDescent="0.3">
      <c r="I46" s="2" t="s">
        <v>5</v>
      </c>
      <c r="K46" s="311">
        <v>300</v>
      </c>
      <c r="L46" s="78">
        <v>50</v>
      </c>
      <c r="M46" s="78">
        <v>20</v>
      </c>
      <c r="N46" s="78">
        <v>25</v>
      </c>
      <c r="O46" s="78">
        <v>25</v>
      </c>
      <c r="P46" s="78">
        <v>25</v>
      </c>
    </row>
    <row r="47" spans="1:17" ht="15.75" thickTop="1" x14ac:dyDescent="0.25">
      <c r="I47" s="425" t="s">
        <v>85</v>
      </c>
      <c r="J47" s="425"/>
      <c r="K47" s="65">
        <f>SUM(K41:K46)</f>
        <v>1500</v>
      </c>
      <c r="L47" s="65">
        <f>SUM(L42:L46)</f>
        <v>792</v>
      </c>
      <c r="M47" s="65">
        <f t="shared" ref="M47:P47" si="2">SUM(M42:M46)</f>
        <v>651</v>
      </c>
      <c r="N47" s="65">
        <f t="shared" si="2"/>
        <v>631</v>
      </c>
      <c r="O47" s="65">
        <f t="shared" si="2"/>
        <v>486</v>
      </c>
      <c r="P47" s="65">
        <f t="shared" si="2"/>
        <v>531</v>
      </c>
      <c r="Q47" s="312">
        <f>SUM(L47:P47)</f>
        <v>3091</v>
      </c>
    </row>
    <row r="48" spans="1:17" x14ac:dyDescent="0.25">
      <c r="L48" s="44"/>
    </row>
    <row r="49" spans="6:16" x14ac:dyDescent="0.25">
      <c r="J49" s="44"/>
    </row>
    <row r="51" spans="6:16" x14ac:dyDescent="0.25">
      <c r="J51" s="44"/>
    </row>
    <row r="52" spans="6:16" x14ac:dyDescent="0.25">
      <c r="I52" s="47" t="s">
        <v>341</v>
      </c>
      <c r="J52" s="47"/>
      <c r="K52" s="47"/>
      <c r="L52" s="47"/>
      <c r="M52" s="47"/>
      <c r="N52" s="47"/>
      <c r="O52" s="47"/>
      <c r="P52" s="47"/>
    </row>
    <row r="53" spans="6:16" x14ac:dyDescent="0.25">
      <c r="I53" t="s">
        <v>179</v>
      </c>
    </row>
    <row r="54" spans="6:16" x14ac:dyDescent="0.25">
      <c r="I54" s="419" t="s">
        <v>173</v>
      </c>
      <c r="J54" s="418" t="s">
        <v>174</v>
      </c>
      <c r="K54" s="418" t="s">
        <v>175</v>
      </c>
      <c r="L54" s="418" t="s">
        <v>176</v>
      </c>
      <c r="M54" s="418" t="s">
        <v>177</v>
      </c>
      <c r="N54" s="418" t="s">
        <v>178</v>
      </c>
      <c r="O54" s="404" t="s">
        <v>180</v>
      </c>
      <c r="P54" s="404"/>
    </row>
    <row r="55" spans="6:16" x14ac:dyDescent="0.25">
      <c r="I55" s="419"/>
      <c r="J55" s="418"/>
      <c r="K55" s="418"/>
      <c r="L55" s="418"/>
      <c r="M55" s="418"/>
      <c r="N55" s="418"/>
      <c r="O55" s="63" t="s">
        <v>181</v>
      </c>
      <c r="P55" s="63" t="s">
        <v>182</v>
      </c>
    </row>
    <row r="56" spans="6:16" x14ac:dyDescent="0.25">
      <c r="I56" s="85" t="str">
        <f t="shared" ref="I56:I61" si="3">J30</f>
        <v>5448DJJ</v>
      </c>
      <c r="J56" s="87">
        <v>110000</v>
      </c>
      <c r="K56" s="87">
        <v>18000</v>
      </c>
      <c r="L56" s="87">
        <f>SUM(J56:K56)</f>
        <v>128000</v>
      </c>
      <c r="M56" s="89">
        <f>(L56*8)/100</f>
        <v>10240</v>
      </c>
      <c r="N56" s="45">
        <f>M56*gasoil</f>
        <v>7475.2</v>
      </c>
      <c r="O56" s="101">
        <f>(M56/L56)*100</f>
        <v>8</v>
      </c>
      <c r="P56" s="88">
        <f>(N56/L56)*100</f>
        <v>5.84</v>
      </c>
    </row>
    <row r="57" spans="6:16" x14ac:dyDescent="0.25">
      <c r="I57" s="85" t="str">
        <f t="shared" si="3"/>
        <v>9853CXD</v>
      </c>
      <c r="J57" s="87">
        <v>125000</v>
      </c>
      <c r="K57" s="87">
        <v>5000</v>
      </c>
      <c r="L57" s="87">
        <f t="shared" ref="L57:L60" si="4">SUM(J57:K57)</f>
        <v>130000</v>
      </c>
      <c r="M57" s="89">
        <f t="shared" ref="M57:M60" si="5">(L57*8)/100</f>
        <v>10400</v>
      </c>
      <c r="N57" s="45">
        <f>M57*gasoil</f>
        <v>7592</v>
      </c>
      <c r="O57" s="90">
        <f t="shared" ref="O57:O61" si="6">(M57/L57)*100</f>
        <v>8</v>
      </c>
      <c r="P57" s="88">
        <f t="shared" ref="P57:P61" si="7">(N57/L57)*100</f>
        <v>5.84</v>
      </c>
    </row>
    <row r="58" spans="6:16" x14ac:dyDescent="0.25">
      <c r="I58" s="85" t="str">
        <f t="shared" si="3"/>
        <v>2343BCD</v>
      </c>
      <c r="J58" s="87">
        <v>95000</v>
      </c>
      <c r="K58" s="87">
        <v>8500</v>
      </c>
      <c r="L58" s="87">
        <f t="shared" si="4"/>
        <v>103500</v>
      </c>
      <c r="M58" s="89">
        <f t="shared" si="5"/>
        <v>8280</v>
      </c>
      <c r="N58" s="45">
        <f>M58*gasoil</f>
        <v>6044.4</v>
      </c>
      <c r="O58" s="90">
        <f t="shared" si="6"/>
        <v>8</v>
      </c>
      <c r="P58" s="88">
        <f t="shared" si="7"/>
        <v>5.839999999999999</v>
      </c>
    </row>
    <row r="59" spans="6:16" x14ac:dyDescent="0.25">
      <c r="I59" s="85" t="str">
        <f t="shared" si="3"/>
        <v>6548FST</v>
      </c>
      <c r="J59" s="87">
        <v>124500</v>
      </c>
      <c r="K59" s="87">
        <v>15000</v>
      </c>
      <c r="L59" s="87">
        <f t="shared" si="4"/>
        <v>139500</v>
      </c>
      <c r="M59" s="89">
        <f t="shared" si="5"/>
        <v>11160</v>
      </c>
      <c r="N59" s="45">
        <f>M59*gasoil</f>
        <v>8146.8</v>
      </c>
      <c r="O59" s="90">
        <f t="shared" si="6"/>
        <v>8</v>
      </c>
      <c r="P59" s="88">
        <f t="shared" si="7"/>
        <v>5.84</v>
      </c>
    </row>
    <row r="60" spans="6:16" ht="15.75" thickBot="1" x14ac:dyDescent="0.3">
      <c r="I60" s="85" t="str">
        <f t="shared" si="3"/>
        <v>2312BTT</v>
      </c>
      <c r="J60" s="91">
        <v>90000</v>
      </c>
      <c r="K60" s="91">
        <v>9000</v>
      </c>
      <c r="L60" s="91">
        <f t="shared" si="4"/>
        <v>99000</v>
      </c>
      <c r="M60" s="92">
        <f t="shared" si="5"/>
        <v>7920</v>
      </c>
      <c r="N60" s="92">
        <f>M60*gasoil</f>
        <v>5781.5999999999995</v>
      </c>
      <c r="O60" s="93">
        <f t="shared" si="6"/>
        <v>8</v>
      </c>
      <c r="P60" s="94">
        <f t="shared" si="7"/>
        <v>5.839999999999999</v>
      </c>
    </row>
    <row r="61" spans="6:16" ht="15.75" thickTop="1" x14ac:dyDescent="0.25">
      <c r="F61" s="229"/>
      <c r="I61" s="86" t="str">
        <f t="shared" si="3"/>
        <v>Subtotal</v>
      </c>
      <c r="J61" s="87">
        <f>SUM(J56:J60)</f>
        <v>544500</v>
      </c>
      <c r="K61" s="87">
        <f>SUM(K56:K60)</f>
        <v>55500</v>
      </c>
      <c r="L61" s="87">
        <f>SUM(L56:L60)</f>
        <v>600000</v>
      </c>
      <c r="M61" s="89">
        <f>SUM(M56:M60)</f>
        <v>48000</v>
      </c>
      <c r="N61" s="307">
        <f>SUM(N56:N60)</f>
        <v>35040</v>
      </c>
      <c r="O61" s="90">
        <f t="shared" si="6"/>
        <v>8</v>
      </c>
      <c r="P61" s="88">
        <f t="shared" si="7"/>
        <v>5.84</v>
      </c>
    </row>
    <row r="62" spans="6:16" x14ac:dyDescent="0.25">
      <c r="I62" s="419" t="s">
        <v>171</v>
      </c>
      <c r="J62" s="418" t="s">
        <v>174</v>
      </c>
      <c r="K62" s="418" t="s">
        <v>175</v>
      </c>
      <c r="L62" s="418" t="s">
        <v>176</v>
      </c>
      <c r="M62" s="418" t="s">
        <v>177</v>
      </c>
      <c r="N62" s="418" t="s">
        <v>178</v>
      </c>
      <c r="O62" s="404" t="s">
        <v>180</v>
      </c>
      <c r="P62" s="404"/>
    </row>
    <row r="63" spans="6:16" x14ac:dyDescent="0.25">
      <c r="I63" s="419"/>
      <c r="J63" s="418"/>
      <c r="K63" s="418"/>
      <c r="L63" s="418"/>
      <c r="M63" s="418"/>
      <c r="N63" s="418"/>
      <c r="O63" s="63" t="s">
        <v>181</v>
      </c>
      <c r="P63" s="63" t="s">
        <v>182</v>
      </c>
    </row>
    <row r="64" spans="6:16" x14ac:dyDescent="0.25">
      <c r="I64" s="85" t="s">
        <v>172</v>
      </c>
      <c r="K64" s="95">
        <v>12500</v>
      </c>
      <c r="L64" s="87">
        <f>SUM(J64:K64)</f>
        <v>12500</v>
      </c>
      <c r="M64" s="89">
        <f>(L64*6)/100</f>
        <v>750</v>
      </c>
      <c r="N64" s="96">
        <f>M64*gasolina</f>
        <v>742.5</v>
      </c>
      <c r="O64" s="90">
        <f>(M64/L64)*100</f>
        <v>6</v>
      </c>
      <c r="P64" s="88">
        <f>(N64/L64)*100</f>
        <v>5.94</v>
      </c>
    </row>
    <row r="65" spans="9:19" ht="15.75" thickBot="1" x14ac:dyDescent="0.3">
      <c r="I65" s="85" t="s">
        <v>183</v>
      </c>
      <c r="J65" s="91"/>
      <c r="K65" s="91">
        <v>5000</v>
      </c>
      <c r="L65" s="91">
        <f>SUM(J65:K65)</f>
        <v>5000</v>
      </c>
      <c r="M65" s="92">
        <f>(L65*6)/100</f>
        <v>300</v>
      </c>
      <c r="N65" s="46">
        <f>M65*gasolina</f>
        <v>297</v>
      </c>
      <c r="O65" s="93">
        <f>(M65/L65)*100</f>
        <v>6</v>
      </c>
      <c r="P65" s="94">
        <f>(N65/L65)*100</f>
        <v>5.94</v>
      </c>
    </row>
    <row r="66" spans="9:19" ht="15.75" thickTop="1" x14ac:dyDescent="0.25">
      <c r="I66" s="86" t="str">
        <f>I61</f>
        <v>Subtotal</v>
      </c>
      <c r="J66" s="87">
        <f>SUM(J64:J65)</f>
        <v>0</v>
      </c>
      <c r="K66" s="87">
        <f t="shared" ref="K66:L66" si="8">SUM(K64:K65)</f>
        <v>17500</v>
      </c>
      <c r="L66" s="87">
        <f t="shared" si="8"/>
        <v>17500</v>
      </c>
      <c r="M66" s="89">
        <f>SUM(M64:M65)</f>
        <v>1050</v>
      </c>
      <c r="N66" s="307">
        <f>SUM(N64:N65)</f>
        <v>1039.5</v>
      </c>
      <c r="O66" s="90">
        <f>(M66/L66)*100</f>
        <v>6</v>
      </c>
      <c r="P66" s="88">
        <f>(N66/L66)*100</f>
        <v>5.94</v>
      </c>
    </row>
    <row r="68" spans="9:19" x14ac:dyDescent="0.25">
      <c r="I68" t="s">
        <v>186</v>
      </c>
      <c r="S68" s="44"/>
    </row>
    <row r="69" spans="9:19" x14ac:dyDescent="0.25">
      <c r="I69" s="419" t="str">
        <f>I54</f>
        <v>Vehículos:</v>
      </c>
      <c r="J69" s="418" t="s">
        <v>176</v>
      </c>
      <c r="K69" s="405" t="s">
        <v>187</v>
      </c>
      <c r="L69" s="405"/>
      <c r="M69" s="405" t="s">
        <v>188</v>
      </c>
      <c r="N69" s="405"/>
      <c r="O69" s="405" t="s">
        <v>71</v>
      </c>
      <c r="P69" s="405"/>
    </row>
    <row r="70" spans="9:19" x14ac:dyDescent="0.25">
      <c r="I70" s="419"/>
      <c r="J70" s="418"/>
      <c r="K70" s="64" t="s">
        <v>185</v>
      </c>
      <c r="L70" s="64" t="s">
        <v>182</v>
      </c>
      <c r="M70" s="64" t="s">
        <v>185</v>
      </c>
      <c r="N70" s="64" t="s">
        <v>182</v>
      </c>
      <c r="O70" s="64" t="s">
        <v>185</v>
      </c>
      <c r="P70" s="64" t="s">
        <v>182</v>
      </c>
    </row>
    <row r="71" spans="9:19" x14ac:dyDescent="0.25">
      <c r="I71" s="85" t="str">
        <f>I56</f>
        <v>5448DJJ</v>
      </c>
      <c r="J71" s="87">
        <f>L56</f>
        <v>128000</v>
      </c>
      <c r="K71" s="45">
        <v>5172</v>
      </c>
      <c r="L71" s="62">
        <f>(K71/J71)*100</f>
        <v>4.0406249999999995</v>
      </c>
      <c r="M71" s="45">
        <v>1608</v>
      </c>
      <c r="N71" s="62">
        <f>(M71/J71)*100</f>
        <v>1.2562500000000001</v>
      </c>
      <c r="O71" s="45">
        <f>2844</f>
        <v>2844</v>
      </c>
      <c r="P71" s="88">
        <f>(O71/J71)*100</f>
        <v>2.2218749999999998</v>
      </c>
    </row>
    <row r="72" spans="9:19" x14ac:dyDescent="0.25">
      <c r="I72" s="85" t="str">
        <f t="shared" ref="I72:I76" si="9">I57</f>
        <v>9853CXD</v>
      </c>
      <c r="J72" s="87">
        <f t="shared" ref="J72:J76" si="10">L57</f>
        <v>130000</v>
      </c>
      <c r="K72" s="45">
        <v>1500</v>
      </c>
      <c r="L72" s="88">
        <f t="shared" ref="L72:L76" si="11">(K72/J72)*100</f>
        <v>1.153846153846154</v>
      </c>
      <c r="M72" s="45">
        <v>440</v>
      </c>
      <c r="N72" s="88">
        <f t="shared" ref="N72:N76" si="12">(M72/J72)*100</f>
        <v>0.33846153846153848</v>
      </c>
      <c r="O72" s="45">
        <v>500</v>
      </c>
      <c r="P72" s="88">
        <f t="shared" ref="P72:P76" si="13">(O72/J72)*100</f>
        <v>0.38461538461538464</v>
      </c>
      <c r="S72" s="44"/>
    </row>
    <row r="73" spans="9:19" x14ac:dyDescent="0.25">
      <c r="I73" s="85" t="str">
        <f t="shared" si="9"/>
        <v>2343BCD</v>
      </c>
      <c r="J73" s="87">
        <f t="shared" si="10"/>
        <v>103500</v>
      </c>
      <c r="K73" s="45">
        <v>1000</v>
      </c>
      <c r="L73" s="88">
        <f t="shared" si="11"/>
        <v>0.96618357487922701</v>
      </c>
      <c r="M73" s="45">
        <v>668</v>
      </c>
      <c r="N73" s="88">
        <f t="shared" si="12"/>
        <v>0.6454106280193237</v>
      </c>
      <c r="O73" s="45">
        <v>350</v>
      </c>
      <c r="P73" s="88">
        <f t="shared" si="13"/>
        <v>0.33816425120772947</v>
      </c>
    </row>
    <row r="74" spans="9:19" x14ac:dyDescent="0.25">
      <c r="I74" s="85" t="str">
        <f t="shared" si="9"/>
        <v>6548FST</v>
      </c>
      <c r="J74" s="87">
        <f t="shared" si="10"/>
        <v>139500</v>
      </c>
      <c r="K74" s="45">
        <v>1500</v>
      </c>
      <c r="L74" s="88">
        <f t="shared" si="11"/>
        <v>1.0752688172043012</v>
      </c>
      <c r="M74" s="45">
        <v>945</v>
      </c>
      <c r="N74" s="88">
        <f t="shared" si="12"/>
        <v>0.67741935483870963</v>
      </c>
      <c r="O74" s="45">
        <v>400</v>
      </c>
      <c r="P74" s="88">
        <f t="shared" si="13"/>
        <v>0.28673835125448027</v>
      </c>
    </row>
    <row r="75" spans="9:19" ht="15.75" thickBot="1" x14ac:dyDescent="0.3">
      <c r="I75" s="85" t="str">
        <f t="shared" si="9"/>
        <v>2312BTT</v>
      </c>
      <c r="J75" s="91">
        <f t="shared" si="10"/>
        <v>99000</v>
      </c>
      <c r="K75" s="46">
        <v>2500</v>
      </c>
      <c r="L75" s="94">
        <f t="shared" si="11"/>
        <v>2.5252525252525251</v>
      </c>
      <c r="M75" s="46">
        <v>594</v>
      </c>
      <c r="N75" s="94">
        <f t="shared" si="12"/>
        <v>0.6</v>
      </c>
      <c r="O75" s="46">
        <v>250</v>
      </c>
      <c r="P75" s="94">
        <f t="shared" si="13"/>
        <v>0.25252525252525254</v>
      </c>
    </row>
    <row r="76" spans="9:19" ht="15.75" thickTop="1" x14ac:dyDescent="0.25">
      <c r="I76" s="86" t="str">
        <f t="shared" si="9"/>
        <v>Subtotal</v>
      </c>
      <c r="J76" s="87">
        <f t="shared" si="10"/>
        <v>600000</v>
      </c>
      <c r="K76" s="307">
        <f>SUM(K71:K75)</f>
        <v>11672</v>
      </c>
      <c r="L76" s="88">
        <f t="shared" si="11"/>
        <v>1.9453333333333334</v>
      </c>
      <c r="M76" s="307">
        <f>SUM(M71:M75)</f>
        <v>4255</v>
      </c>
      <c r="N76" s="88">
        <f t="shared" si="12"/>
        <v>0.70916666666666661</v>
      </c>
      <c r="O76" s="307">
        <f>SUM(O71:O75)</f>
        <v>4344</v>
      </c>
      <c r="P76" s="88">
        <f t="shared" si="13"/>
        <v>0.72399999999999998</v>
      </c>
    </row>
    <row r="77" spans="9:19" x14ac:dyDescent="0.25">
      <c r="I77" s="419" t="s">
        <v>171</v>
      </c>
      <c r="J77" s="418" t="s">
        <v>176</v>
      </c>
      <c r="K77" s="405" t="s">
        <v>187</v>
      </c>
      <c r="L77" s="405"/>
      <c r="M77" s="405" t="s">
        <v>188</v>
      </c>
      <c r="N77" s="405"/>
      <c r="O77" s="405" t="s">
        <v>71</v>
      </c>
      <c r="P77" s="405"/>
    </row>
    <row r="78" spans="9:19" x14ac:dyDescent="0.25">
      <c r="I78" s="419"/>
      <c r="J78" s="418"/>
      <c r="K78" s="64" t="s">
        <v>185</v>
      </c>
      <c r="L78" s="64" t="s">
        <v>182</v>
      </c>
      <c r="M78" s="64" t="s">
        <v>185</v>
      </c>
      <c r="N78" s="64" t="s">
        <v>182</v>
      </c>
      <c r="O78" s="64" t="s">
        <v>185</v>
      </c>
      <c r="P78" s="64" t="s">
        <v>182</v>
      </c>
    </row>
    <row r="79" spans="9:19" x14ac:dyDescent="0.25">
      <c r="I79" s="85" t="s">
        <v>172</v>
      </c>
      <c r="J79" s="87">
        <f>L64</f>
        <v>12500</v>
      </c>
      <c r="K79" s="45">
        <v>350</v>
      </c>
      <c r="L79" s="62">
        <f t="shared" ref="L79:L80" si="14">(K79/J79)*100</f>
        <v>2.8000000000000003</v>
      </c>
      <c r="M79" s="45">
        <v>80</v>
      </c>
      <c r="N79" s="88">
        <f t="shared" ref="N79:N80" si="15">(M79/J79)*100</f>
        <v>0.64</v>
      </c>
      <c r="O79" s="45">
        <v>45</v>
      </c>
      <c r="P79" s="88">
        <f t="shared" ref="P79:P80" si="16">(O79/J79)*100</f>
        <v>0.36</v>
      </c>
    </row>
    <row r="80" spans="9:19" ht="15.75" thickBot="1" x14ac:dyDescent="0.3">
      <c r="I80" s="85" t="s">
        <v>183</v>
      </c>
      <c r="J80" s="91">
        <f>L65</f>
        <v>5000</v>
      </c>
      <c r="K80" s="46">
        <v>150</v>
      </c>
      <c r="L80" s="94">
        <f t="shared" si="14"/>
        <v>3</v>
      </c>
      <c r="M80" s="46">
        <v>40</v>
      </c>
      <c r="N80" s="94">
        <f t="shared" si="15"/>
        <v>0.8</v>
      </c>
      <c r="O80" s="46">
        <v>25</v>
      </c>
      <c r="P80" s="94">
        <f t="shared" si="16"/>
        <v>0.5</v>
      </c>
    </row>
    <row r="81" spans="9:16" ht="15.75" thickTop="1" x14ac:dyDescent="0.25">
      <c r="I81" s="86" t="str">
        <f>I76</f>
        <v>Subtotal</v>
      </c>
      <c r="J81" s="87">
        <f>SUM(J79:J80)</f>
        <v>17500</v>
      </c>
      <c r="K81" s="307">
        <f>SUM(K79:K80)</f>
        <v>500</v>
      </c>
      <c r="L81" s="88"/>
      <c r="M81" s="307">
        <f>SUM(M79:M80)</f>
        <v>120</v>
      </c>
      <c r="N81" s="88"/>
      <c r="O81" s="307">
        <f>SUM(O79:O80)</f>
        <v>70</v>
      </c>
      <c r="P81" s="88"/>
    </row>
  </sheetData>
  <mergeCells count="77">
    <mergeCell ref="O4:P4"/>
    <mergeCell ref="O5:P5"/>
    <mergeCell ref="O6:P6"/>
    <mergeCell ref="O7:P7"/>
    <mergeCell ref="A2:E2"/>
    <mergeCell ref="L4:L5"/>
    <mergeCell ref="M4:M5"/>
    <mergeCell ref="N4:N5"/>
    <mergeCell ref="K4:K5"/>
    <mergeCell ref="I4:J5"/>
    <mergeCell ref="I6:I8"/>
    <mergeCell ref="I9:I10"/>
    <mergeCell ref="F3:H3"/>
    <mergeCell ref="J9:J10"/>
    <mergeCell ref="C15:C16"/>
    <mergeCell ref="D15:D16"/>
    <mergeCell ref="E15:E16"/>
    <mergeCell ref="K9:K10"/>
    <mergeCell ref="A19:C20"/>
    <mergeCell ref="N9:N10"/>
    <mergeCell ref="N11:N12"/>
    <mergeCell ref="I11:I12"/>
    <mergeCell ref="J11:J12"/>
    <mergeCell ref="K11:K12"/>
    <mergeCell ref="L11:L12"/>
    <mergeCell ref="M11:M12"/>
    <mergeCell ref="L9:L10"/>
    <mergeCell ref="M9:M10"/>
    <mergeCell ref="N15:N16"/>
    <mergeCell ref="N13:N14"/>
    <mergeCell ref="I13:I14"/>
    <mergeCell ref="J13:J14"/>
    <mergeCell ref="K13:K14"/>
    <mergeCell ref="L62:L63"/>
    <mergeCell ref="L13:L14"/>
    <mergeCell ref="M13:M14"/>
    <mergeCell ref="L54:L55"/>
    <mergeCell ref="O8:P8"/>
    <mergeCell ref="O9:P9"/>
    <mergeCell ref="O10:P10"/>
    <mergeCell ref="O11:P11"/>
    <mergeCell ref="I19:L20"/>
    <mergeCell ref="O12:P12"/>
    <mergeCell ref="I17:J17"/>
    <mergeCell ref="I28:J28"/>
    <mergeCell ref="L28:O28"/>
    <mergeCell ref="L30:P34"/>
    <mergeCell ref="I15:I16"/>
    <mergeCell ref="J15:J16"/>
    <mergeCell ref="L15:L16"/>
    <mergeCell ref="M15:M16"/>
    <mergeCell ref="I40:J40"/>
    <mergeCell ref="I47:J47"/>
    <mergeCell ref="J54:J55"/>
    <mergeCell ref="K54:K55"/>
    <mergeCell ref="I54:I55"/>
    <mergeCell ref="I36:P36"/>
    <mergeCell ref="M54:M55"/>
    <mergeCell ref="N54:N55"/>
    <mergeCell ref="O54:P54"/>
    <mergeCell ref="K15:K16"/>
    <mergeCell ref="M62:M63"/>
    <mergeCell ref="N62:N63"/>
    <mergeCell ref="O77:P77"/>
    <mergeCell ref="J69:J70"/>
    <mergeCell ref="I69:I70"/>
    <mergeCell ref="K69:L69"/>
    <mergeCell ref="O69:P69"/>
    <mergeCell ref="I77:I78"/>
    <mergeCell ref="M69:N69"/>
    <mergeCell ref="J77:J78"/>
    <mergeCell ref="K77:L77"/>
    <mergeCell ref="M77:N77"/>
    <mergeCell ref="O62:P62"/>
    <mergeCell ref="I62:I63"/>
    <mergeCell ref="J62:J63"/>
    <mergeCell ref="K62:K63"/>
  </mergeCells>
  <pageMargins left="0.7" right="0.7" top="0.75" bottom="0.75" header="0.3" footer="0.3"/>
  <pageSetup paperSize="9" orientation="portrait" horizontalDpi="4294967292" r:id="rId1"/>
  <ignoredErrors>
    <ignoredError sqref="D14:E14" formulaRange="1"/>
    <ignoredError sqref="C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120" zoomScaleNormal="120" zoomScalePageLayoutView="110" workbookViewId="0">
      <selection activeCell="H30" sqref="H30"/>
    </sheetView>
  </sheetViews>
  <sheetFormatPr baseColWidth="10" defaultRowHeight="15" x14ac:dyDescent="0.25"/>
  <cols>
    <col min="1" max="1" width="27.140625" customWidth="1"/>
    <col min="2" max="2" width="16.85546875" customWidth="1"/>
    <col min="3" max="3" width="8.140625" customWidth="1"/>
    <col min="4" max="4" width="13.5703125" customWidth="1"/>
    <col min="5" max="5" width="15.5703125" customWidth="1"/>
    <col min="6" max="6" width="14" bestFit="1" customWidth="1"/>
    <col min="7" max="7" width="12.42578125" customWidth="1"/>
    <col min="10" max="10" width="27.5703125" customWidth="1"/>
    <col min="11" max="11" width="12.7109375" customWidth="1"/>
    <col min="12" max="12" width="12.140625" bestFit="1" customWidth="1"/>
    <col min="14" max="14" width="14.7109375" customWidth="1"/>
    <col min="15" max="15" width="22" customWidth="1"/>
  </cols>
  <sheetData>
    <row r="1" spans="1:15" ht="18.75" x14ac:dyDescent="0.25">
      <c r="B1" s="413" t="s">
        <v>262</v>
      </c>
      <c r="C1" s="413"/>
      <c r="D1" s="413"/>
      <c r="E1" s="413"/>
      <c r="F1" s="413"/>
      <c r="G1" s="413"/>
      <c r="J1" s="519" t="s">
        <v>274</v>
      </c>
      <c r="K1" s="519"/>
      <c r="L1" s="519"/>
    </row>
    <row r="2" spans="1:15" ht="15.75" x14ac:dyDescent="0.25">
      <c r="B2" s="522" t="s">
        <v>39</v>
      </c>
      <c r="C2" s="522"/>
      <c r="D2" s="522"/>
      <c r="E2" s="522" t="s">
        <v>38</v>
      </c>
      <c r="F2" s="522"/>
      <c r="G2" s="522"/>
      <c r="J2" s="504" t="s">
        <v>251</v>
      </c>
      <c r="K2" s="505"/>
      <c r="L2" s="352">
        <f>B7</f>
        <v>803000</v>
      </c>
    </row>
    <row r="3" spans="1:15" x14ac:dyDescent="0.25">
      <c r="B3" s="360" t="s">
        <v>229</v>
      </c>
      <c r="C3" s="361"/>
      <c r="D3" s="436" t="s">
        <v>230</v>
      </c>
      <c r="E3" s="211"/>
      <c r="F3" s="361" t="s">
        <v>229</v>
      </c>
      <c r="G3" s="436" t="s">
        <v>257</v>
      </c>
      <c r="H3" s="209"/>
      <c r="J3" s="506" t="s">
        <v>287</v>
      </c>
      <c r="K3" s="507"/>
      <c r="L3" s="353">
        <f>B6</f>
        <v>15</v>
      </c>
    </row>
    <row r="4" spans="1:15" x14ac:dyDescent="0.25">
      <c r="B4" s="364"/>
      <c r="C4" s="365"/>
      <c r="D4" s="438"/>
      <c r="E4" s="42"/>
      <c r="F4" s="365"/>
      <c r="G4" s="438"/>
      <c r="J4" s="509" t="s">
        <v>288</v>
      </c>
      <c r="K4" s="510"/>
      <c r="L4" s="354">
        <v>600000</v>
      </c>
    </row>
    <row r="5" spans="1:15" x14ac:dyDescent="0.25">
      <c r="A5" s="193" t="s">
        <v>225</v>
      </c>
      <c r="B5" s="316"/>
      <c r="C5" s="316"/>
      <c r="D5" s="317"/>
      <c r="E5" s="193" t="s">
        <v>225</v>
      </c>
      <c r="F5" s="20"/>
      <c r="G5" s="488" t="str">
        <f>F7/F7&amp;" Kg  = "&amp;(F6/F7)&amp;" Km"</f>
        <v>1 Kg  = 0,74719800747198 Km</v>
      </c>
      <c r="J5" s="490" t="s">
        <v>282</v>
      </c>
      <c r="K5" s="491"/>
      <c r="L5" s="23"/>
    </row>
    <row r="6" spans="1:15" ht="15" customHeight="1" x14ac:dyDescent="0.25">
      <c r="A6" s="318" t="s">
        <v>232</v>
      </c>
      <c r="B6" s="230">
        <f>'Actvidad de la Empresa'!L19</f>
        <v>15</v>
      </c>
      <c r="C6" s="230"/>
      <c r="D6" s="198">
        <f>365/B6</f>
        <v>24.333333333333332</v>
      </c>
      <c r="E6" s="318" t="s">
        <v>250</v>
      </c>
      <c r="F6" s="233">
        <f>'Actvidad de la Empresa'!L21</f>
        <v>600000</v>
      </c>
      <c r="G6" s="489"/>
      <c r="H6" s="210"/>
      <c r="J6" s="248" t="s">
        <v>231</v>
      </c>
      <c r="K6" s="5"/>
      <c r="L6" s="6"/>
    </row>
    <row r="7" spans="1:15" x14ac:dyDescent="0.25">
      <c r="A7" s="318" t="s">
        <v>226</v>
      </c>
      <c r="B7" s="231">
        <f>'Actvidad de la Empresa'!L20</f>
        <v>803000</v>
      </c>
      <c r="C7" s="231"/>
      <c r="D7" s="199">
        <f>B7/D6</f>
        <v>33000</v>
      </c>
      <c r="E7" s="318" t="s">
        <v>251</v>
      </c>
      <c r="F7" s="212">
        <f>B7</f>
        <v>803000</v>
      </c>
      <c r="G7" s="489"/>
      <c r="J7" s="249" t="str">
        <f>A16</f>
        <v>Coste Estimado por Kg dia</v>
      </c>
      <c r="K7" s="250">
        <f>B16</f>
        <v>4.1511000415110009E-4</v>
      </c>
      <c r="L7" s="251">
        <f>K7*L3*L2</f>
        <v>5000.0000000000009</v>
      </c>
    </row>
    <row r="8" spans="1:15" x14ac:dyDescent="0.25">
      <c r="A8" s="319" t="s">
        <v>227</v>
      </c>
      <c r="B8" s="232">
        <f>'Actvidad de la Empresa'!L18</f>
        <v>37500</v>
      </c>
      <c r="C8" s="232"/>
      <c r="D8" s="200">
        <f>D7/B8</f>
        <v>0.88</v>
      </c>
      <c r="E8" s="42"/>
      <c r="F8" s="157"/>
      <c r="G8" s="100"/>
      <c r="J8" s="248" t="s">
        <v>236</v>
      </c>
      <c r="K8" s="5"/>
      <c r="L8" s="6"/>
    </row>
    <row r="9" spans="1:15" x14ac:dyDescent="0.25">
      <c r="A9" s="193" t="s">
        <v>235</v>
      </c>
      <c r="B9" s="20"/>
      <c r="C9" s="20"/>
      <c r="D9" s="23"/>
      <c r="E9" s="193" t="s">
        <v>235</v>
      </c>
      <c r="F9" s="20"/>
      <c r="G9" s="23"/>
      <c r="J9" s="249" t="str">
        <f>A20</f>
        <v>Coste Estimado por Kg dia</v>
      </c>
      <c r="K9" s="250">
        <f>B20</f>
        <v>5.3964300539643018E-4</v>
      </c>
      <c r="L9" s="251">
        <f>K9*L3*L2</f>
        <v>6500.0000000000009</v>
      </c>
    </row>
    <row r="10" spans="1:15" x14ac:dyDescent="0.25">
      <c r="A10" s="318" t="s">
        <v>233</v>
      </c>
      <c r="B10" s="194">
        <f>'Costes Fijos y Variables'!E52</f>
        <v>97748</v>
      </c>
      <c r="C10" s="195">
        <f>B10/(B10+B11)</f>
        <v>0.68734397470616171</v>
      </c>
      <c r="D10" s="6"/>
      <c r="E10" s="11" t="s">
        <v>258</v>
      </c>
      <c r="F10" s="213">
        <f>'Costes Fijos y Variables'!H52</f>
        <v>193353</v>
      </c>
      <c r="G10" s="214">
        <f>F10/(F10+F11)</f>
        <v>0.75156253393024475</v>
      </c>
      <c r="J10" s="248" t="s">
        <v>237</v>
      </c>
      <c r="K10" s="5"/>
      <c r="L10" s="6"/>
    </row>
    <row r="11" spans="1:15" x14ac:dyDescent="0.25">
      <c r="A11" s="319" t="s">
        <v>234</v>
      </c>
      <c r="B11" s="196">
        <f>'Costes Fijos y Variables'!F52</f>
        <v>44463.183333333342</v>
      </c>
      <c r="C11" s="197">
        <f>B11/(B11+B10)</f>
        <v>0.31265602529383824</v>
      </c>
      <c r="D11" s="100"/>
      <c r="E11" s="42" t="s">
        <v>259</v>
      </c>
      <c r="F11" s="196">
        <f>'Costes Fijos y Variables'!I52</f>
        <v>63915.013333333336</v>
      </c>
      <c r="G11" s="215">
        <f>F11/(F11+F10)</f>
        <v>0.24843746606975523</v>
      </c>
      <c r="H11" s="104"/>
      <c r="J11" s="508" t="s">
        <v>123</v>
      </c>
      <c r="K11" s="351">
        <f>B26</f>
        <v>547500</v>
      </c>
      <c r="L11" s="501">
        <f>K11*K12</f>
        <v>5475</v>
      </c>
    </row>
    <row r="12" spans="1:15" x14ac:dyDescent="0.25">
      <c r="A12" s="193" t="s">
        <v>243</v>
      </c>
      <c r="B12" s="20"/>
      <c r="C12" s="20"/>
      <c r="D12" s="23"/>
      <c r="E12" s="193" t="s">
        <v>243</v>
      </c>
      <c r="F12" s="20"/>
      <c r="G12" s="23"/>
      <c r="J12" s="508"/>
      <c r="K12" s="191">
        <f>B28</f>
        <v>0.01</v>
      </c>
      <c r="L12" s="501"/>
      <c r="O12" s="204"/>
    </row>
    <row r="13" spans="1:15" x14ac:dyDescent="0.25">
      <c r="A13" s="499" t="s">
        <v>231</v>
      </c>
      <c r="B13" s="513" t="str">
        <f>"Total Costes de Actividad de Almacenaje = "&amp;B16&amp;" x Total Kilos x "&amp;"Estancia Media"</f>
        <v>Total Costes de Actividad de Almacenaje = 0,0004151100041511 x Total Kilos x Estancia Media</v>
      </c>
      <c r="C13" s="513"/>
      <c r="D13" s="514"/>
      <c r="E13" s="11"/>
      <c r="F13" s="523" t="s">
        <v>252</v>
      </c>
      <c r="G13" s="524"/>
      <c r="J13" s="508" t="s">
        <v>283</v>
      </c>
      <c r="K13" s="351">
        <f>D26</f>
        <v>255463.50000000003</v>
      </c>
      <c r="L13" s="501">
        <f>K13*K14</f>
        <v>25546.350000000006</v>
      </c>
    </row>
    <row r="14" spans="1:15" ht="15" customHeight="1" x14ac:dyDescent="0.25">
      <c r="A14" s="499"/>
      <c r="B14" s="513"/>
      <c r="C14" s="513"/>
      <c r="D14" s="514"/>
      <c r="E14" s="11"/>
      <c r="F14" s="216">
        <f>F7/F7</f>
        <v>1</v>
      </c>
      <c r="G14" s="217">
        <f>F6/F7</f>
        <v>0.74719800747198006</v>
      </c>
      <c r="J14" s="508"/>
      <c r="K14" s="191">
        <f>D28</f>
        <v>0.1</v>
      </c>
      <c r="L14" s="501"/>
    </row>
    <row r="15" spans="1:15" x14ac:dyDescent="0.25">
      <c r="A15" s="208" t="s">
        <v>244</v>
      </c>
      <c r="B15" s="511">
        <v>5000</v>
      </c>
      <c r="C15" s="511"/>
      <c r="D15" s="184">
        <f>B15/D6</f>
        <v>205.47945205479454</v>
      </c>
      <c r="E15" s="11"/>
      <c r="F15" s="347">
        <v>0.5</v>
      </c>
      <c r="G15" s="348">
        <v>0.5</v>
      </c>
      <c r="J15" s="249" t="s">
        <v>284</v>
      </c>
      <c r="K15" s="350">
        <f>C31</f>
        <v>2.4177833125778331E-3</v>
      </c>
      <c r="L15" s="251">
        <f>(K11+K13)*K15</f>
        <v>1941.3917509090909</v>
      </c>
    </row>
    <row r="16" spans="1:15" x14ac:dyDescent="0.25">
      <c r="A16" s="208" t="s">
        <v>228</v>
      </c>
      <c r="B16" s="512">
        <f>(D15/D7)/B6</f>
        <v>4.1511000415110009E-4</v>
      </c>
      <c r="C16" s="512"/>
      <c r="D16" s="100"/>
      <c r="E16" s="11"/>
      <c r="F16" s="523" t="s">
        <v>253</v>
      </c>
      <c r="G16" s="524"/>
      <c r="J16" s="496" t="s">
        <v>285</v>
      </c>
      <c r="K16" s="497">
        <f>L15+L13+L11+L9+L7</f>
        <v>44462.741750909096</v>
      </c>
      <c r="L16" s="498"/>
    </row>
    <row r="17" spans="1:16" x14ac:dyDescent="0.25">
      <c r="A17" s="499" t="s">
        <v>236</v>
      </c>
      <c r="B17" s="513" t="str">
        <f>"Total Costes de Actividad de Stock = "&amp;B20&amp;" x Total Kilos x "&amp;"Estancia Media"</f>
        <v>Total Costes de Actividad de Stock = 0,00053964300539643 x Total Kilos x Estancia Media</v>
      </c>
      <c r="C17" s="513"/>
      <c r="D17" s="514"/>
      <c r="E17" s="11"/>
      <c r="F17" s="218">
        <f>F14*F15</f>
        <v>0.5</v>
      </c>
      <c r="G17" s="219">
        <f>G15*G14</f>
        <v>0.37359900373599003</v>
      </c>
      <c r="J17" s="496"/>
      <c r="K17" s="497"/>
      <c r="L17" s="498"/>
    </row>
    <row r="18" spans="1:16" ht="15.75" thickBot="1" x14ac:dyDescent="0.3">
      <c r="A18" s="499"/>
      <c r="B18" s="513"/>
      <c r="C18" s="513"/>
      <c r="D18" s="514"/>
      <c r="E18" s="11"/>
      <c r="F18" s="220">
        <f>F17*F6</f>
        <v>300000</v>
      </c>
      <c r="G18" s="221">
        <f>G17*F7</f>
        <v>300000</v>
      </c>
      <c r="J18" s="99" t="s">
        <v>286</v>
      </c>
      <c r="K18" s="252">
        <f>'Costes Fijos y Variables'!F54</f>
        <v>2.1984030982936815</v>
      </c>
      <c r="L18" s="253">
        <f>K18*K16</f>
        <v>97747.029223830381</v>
      </c>
    </row>
    <row r="19" spans="1:16" ht="15.75" thickTop="1" x14ac:dyDescent="0.25">
      <c r="A19" s="208" t="s">
        <v>244</v>
      </c>
      <c r="B19" s="511">
        <v>6500</v>
      </c>
      <c r="C19" s="511"/>
      <c r="D19" s="184">
        <f>B19/D6</f>
        <v>267.1232876712329</v>
      </c>
      <c r="E19" s="11"/>
      <c r="F19" s="222">
        <f>(F18*F11)/(F18+G18)</f>
        <v>31957.506666666668</v>
      </c>
      <c r="G19" s="223">
        <f>(G18*F11)/(F18+G18)</f>
        <v>31957.506666666668</v>
      </c>
      <c r="J19" s="499" t="s">
        <v>292</v>
      </c>
      <c r="K19" s="500"/>
      <c r="L19" s="254">
        <f>L18+K16</f>
        <v>142209.77097473948</v>
      </c>
    </row>
    <row r="20" spans="1:16" x14ac:dyDescent="0.25">
      <c r="A20" s="208" t="s">
        <v>228</v>
      </c>
      <c r="B20" s="512">
        <f>(D19/D7)/B6</f>
        <v>5.3964300539643018E-4</v>
      </c>
      <c r="C20" s="512"/>
      <c r="D20" s="100"/>
      <c r="E20" s="11"/>
      <c r="F20" s="320" t="s">
        <v>254</v>
      </c>
      <c r="G20" s="321" t="s">
        <v>255</v>
      </c>
      <c r="H20" s="182"/>
      <c r="J20" s="249" t="s">
        <v>313</v>
      </c>
      <c r="K20" s="355">
        <v>0.9</v>
      </c>
      <c r="L20" s="254">
        <f>(1+K20)*L19</f>
        <v>270198.56485200499</v>
      </c>
    </row>
    <row r="21" spans="1:16" x14ac:dyDescent="0.25">
      <c r="A21" s="499" t="s">
        <v>237</v>
      </c>
      <c r="B21" s="315" t="s">
        <v>122</v>
      </c>
      <c r="C21" s="185"/>
      <c r="D21" s="186" t="s">
        <v>238</v>
      </c>
      <c r="E21" s="11"/>
      <c r="F21" s="224">
        <f>F19/F6</f>
        <v>5.3262511111111112E-2</v>
      </c>
      <c r="G21" s="225">
        <f>G19/F7</f>
        <v>3.9797642175176423E-2</v>
      </c>
      <c r="J21" s="502" t="str">
        <f>E2</f>
        <v>Dpto. Tráfico y Transportes</v>
      </c>
      <c r="K21" s="503"/>
      <c r="L21" s="6"/>
    </row>
    <row r="22" spans="1:16" ht="15" customHeight="1" x14ac:dyDescent="0.25">
      <c r="A22" s="499"/>
      <c r="B22" s="520" t="s">
        <v>239</v>
      </c>
      <c r="C22" s="520"/>
      <c r="D22" s="521"/>
      <c r="E22" s="11"/>
      <c r="F22" s="5"/>
      <c r="G22" s="6"/>
      <c r="J22" s="249" t="s">
        <v>290</v>
      </c>
      <c r="K22" s="255">
        <f>G21</f>
        <v>3.9797642175176423E-2</v>
      </c>
      <c r="L22" s="251">
        <f>K22*L2</f>
        <v>31957.506666666668</v>
      </c>
      <c r="M22" s="181"/>
      <c r="P22" s="181"/>
    </row>
    <row r="23" spans="1:16" x14ac:dyDescent="0.25">
      <c r="A23" s="208" t="s">
        <v>245</v>
      </c>
      <c r="B23" s="234">
        <f>'Actvidad de la Empresa'!J5</f>
        <v>50</v>
      </c>
      <c r="C23" s="235"/>
      <c r="D23" s="236">
        <f>'Actvidad de la Empresa'!K5</f>
        <v>10</v>
      </c>
      <c r="E23" s="11"/>
      <c r="F23" s="5"/>
      <c r="G23" s="6"/>
      <c r="J23" s="249" t="s">
        <v>289</v>
      </c>
      <c r="K23" s="256">
        <f>F21</f>
        <v>5.3262511111111112E-2</v>
      </c>
      <c r="L23" s="251">
        <f>K23*L4</f>
        <v>31957.506666666668</v>
      </c>
      <c r="M23" s="183"/>
    </row>
    <row r="24" spans="1:16" x14ac:dyDescent="0.25">
      <c r="A24" s="208" t="s">
        <v>256</v>
      </c>
      <c r="B24" s="189">
        <f>'Actvidad de la Empresa'!J14</f>
        <v>10950</v>
      </c>
      <c r="C24" s="5"/>
      <c r="D24" s="190">
        <f>'Actvidad de la Empresa'!K14</f>
        <v>25546.350000000002</v>
      </c>
      <c r="E24" s="11"/>
      <c r="F24" s="5"/>
      <c r="G24" s="6"/>
      <c r="J24" s="496" t="s">
        <v>291</v>
      </c>
      <c r="K24" s="497">
        <f>L22+L23</f>
        <v>63915.013333333336</v>
      </c>
      <c r="L24" s="498"/>
      <c r="M24" s="183"/>
    </row>
    <row r="25" spans="1:16" x14ac:dyDescent="0.25">
      <c r="A25" s="208" t="s">
        <v>246</v>
      </c>
      <c r="B25" s="297">
        <f>'Notas Dpto Alamcenaje'!K26</f>
        <v>0.5</v>
      </c>
      <c r="C25" s="296"/>
      <c r="D25" s="298">
        <f>'Notas Dpto Alamcenaje'!M26</f>
        <v>1</v>
      </c>
      <c r="E25" s="11"/>
      <c r="F25" s="5"/>
      <c r="G25" s="6"/>
      <c r="J25" s="496"/>
      <c r="K25" s="497"/>
      <c r="L25" s="498"/>
    </row>
    <row r="26" spans="1:16" x14ac:dyDescent="0.25">
      <c r="A26" s="208" t="s">
        <v>247</v>
      </c>
      <c r="B26" s="187">
        <f>B24*B23</f>
        <v>547500</v>
      </c>
      <c r="C26" s="5"/>
      <c r="D26" s="188">
        <f>D24*D23</f>
        <v>255463.50000000003</v>
      </c>
      <c r="E26" s="11"/>
      <c r="F26" s="5"/>
      <c r="G26" s="6"/>
      <c r="J26" s="99" t="s">
        <v>286</v>
      </c>
      <c r="K26" s="252">
        <f>'Costes Fijos y Variables'!I54</f>
        <v>3.0251577824385967</v>
      </c>
      <c r="L26" s="254">
        <f>K26*K24</f>
        <v>193353</v>
      </c>
    </row>
    <row r="27" spans="1:16" x14ac:dyDescent="0.25">
      <c r="A27" s="11"/>
      <c r="B27" s="5"/>
      <c r="C27" s="5"/>
      <c r="D27" s="5"/>
      <c r="E27" s="11"/>
      <c r="F27" s="5"/>
      <c r="G27" s="6"/>
      <c r="J27" s="499" t="s">
        <v>293</v>
      </c>
      <c r="K27" s="500"/>
      <c r="L27" s="254">
        <f>L26+K24</f>
        <v>257268.01333333334</v>
      </c>
    </row>
    <row r="28" spans="1:16" x14ac:dyDescent="0.25">
      <c r="A28" s="207" t="s">
        <v>248</v>
      </c>
      <c r="B28" s="191">
        <f>B25/B23</f>
        <v>0.01</v>
      </c>
      <c r="C28" s="5"/>
      <c r="D28" s="192">
        <f>D25/D23</f>
        <v>0.1</v>
      </c>
      <c r="E28" s="11"/>
      <c r="F28" s="5"/>
      <c r="G28" s="6"/>
      <c r="J28" s="249" t="s">
        <v>313</v>
      </c>
      <c r="K28" s="355">
        <v>1.1000000000000001</v>
      </c>
      <c r="L28" s="254">
        <f>(1+K28)*L27</f>
        <v>540262.82799999998</v>
      </c>
    </row>
    <row r="29" spans="1:16" x14ac:dyDescent="0.25">
      <c r="A29" s="492" t="s">
        <v>244</v>
      </c>
      <c r="B29" s="493"/>
      <c r="C29" s="515">
        <f>(B24*B25)+(D24*D25)</f>
        <v>31021.350000000002</v>
      </c>
      <c r="D29" s="515"/>
      <c r="E29" s="11"/>
      <c r="F29" s="5"/>
      <c r="G29" s="6"/>
      <c r="J29" s="490" t="s">
        <v>302</v>
      </c>
      <c r="K29" s="491"/>
      <c r="L29" s="23"/>
    </row>
    <row r="30" spans="1:16" x14ac:dyDescent="0.25">
      <c r="A30" s="492" t="s">
        <v>249</v>
      </c>
      <c r="B30" s="493"/>
      <c r="C30" s="516">
        <v>1941.48</v>
      </c>
      <c r="D30" s="516"/>
      <c r="E30" s="11"/>
      <c r="F30" s="191"/>
      <c r="G30" s="6"/>
      <c r="J30" s="249" t="s">
        <v>299</v>
      </c>
      <c r="K30" s="5"/>
      <c r="L30" s="254">
        <f>L27+L19</f>
        <v>399477.78430807282</v>
      </c>
    </row>
    <row r="31" spans="1:16" ht="15.75" thickBot="1" x14ac:dyDescent="0.3">
      <c r="A31" s="494" t="s">
        <v>242</v>
      </c>
      <c r="B31" s="495"/>
      <c r="C31" s="517">
        <f>C30/B7</f>
        <v>2.4177833125778331E-3</v>
      </c>
      <c r="D31" s="518"/>
      <c r="E31" s="42"/>
      <c r="F31" s="157"/>
      <c r="G31" s="100"/>
      <c r="J31" s="249" t="s">
        <v>300</v>
      </c>
      <c r="K31" s="257">
        <f>'Costes Fijos y Variables'!O56</f>
        <v>0.31994240100562932</v>
      </c>
      <c r="L31" s="253">
        <f>K31*L30</f>
        <v>127809.88145993373</v>
      </c>
    </row>
    <row r="32" spans="1:16" ht="15.75" thickTop="1" x14ac:dyDescent="0.25">
      <c r="A32" s="349" t="s">
        <v>240</v>
      </c>
      <c r="B32" s="104">
        <f>C30+C29+B19+B15</f>
        <v>44462.83</v>
      </c>
      <c r="C32" s="201"/>
      <c r="E32" s="349" t="s">
        <v>240</v>
      </c>
      <c r="G32" s="104">
        <f>F19+G19</f>
        <v>63915.013333333336</v>
      </c>
      <c r="J32" s="492" t="s">
        <v>301</v>
      </c>
      <c r="K32" s="493"/>
      <c r="L32" s="254">
        <f>L30+L31</f>
        <v>527287.66576800658</v>
      </c>
    </row>
    <row r="33" spans="1:12" x14ac:dyDescent="0.25">
      <c r="A33" s="349" t="s">
        <v>241</v>
      </c>
      <c r="B33" s="202">
        <f>B11-B32</f>
        <v>0.35333333333983319</v>
      </c>
      <c r="C33" s="98"/>
      <c r="E33" s="349" t="s">
        <v>241</v>
      </c>
      <c r="G33" s="202">
        <f>F11-G32</f>
        <v>0</v>
      </c>
      <c r="J33" s="492" t="s">
        <v>309</v>
      </c>
      <c r="K33" s="493"/>
      <c r="L33" s="254">
        <f>L28+L20</f>
        <v>810461.39285200497</v>
      </c>
    </row>
    <row r="34" spans="1:12" x14ac:dyDescent="0.25">
      <c r="J34" s="494" t="s">
        <v>310</v>
      </c>
      <c r="K34" s="495"/>
      <c r="L34" s="258">
        <f>L33-L32</f>
        <v>283173.72708399838</v>
      </c>
    </row>
  </sheetData>
  <mergeCells count="46">
    <mergeCell ref="J1:L1"/>
    <mergeCell ref="A29:B29"/>
    <mergeCell ref="A13:A14"/>
    <mergeCell ref="A17:A18"/>
    <mergeCell ref="B17:D18"/>
    <mergeCell ref="A21:A22"/>
    <mergeCell ref="B22:D22"/>
    <mergeCell ref="B19:C19"/>
    <mergeCell ref="B20:C20"/>
    <mergeCell ref="E2:G2"/>
    <mergeCell ref="F3:F4"/>
    <mergeCell ref="B1:G1"/>
    <mergeCell ref="F13:G13"/>
    <mergeCell ref="F16:G16"/>
    <mergeCell ref="G3:G4"/>
    <mergeCell ref="B2:D2"/>
    <mergeCell ref="A30:B30"/>
    <mergeCell ref="C29:D29"/>
    <mergeCell ref="C30:D30"/>
    <mergeCell ref="A31:B31"/>
    <mergeCell ref="C31:D31"/>
    <mergeCell ref="D3:D4"/>
    <mergeCell ref="B3:C4"/>
    <mergeCell ref="B15:C15"/>
    <mergeCell ref="B16:C16"/>
    <mergeCell ref="B13:D14"/>
    <mergeCell ref="J2:K2"/>
    <mergeCell ref="J3:K3"/>
    <mergeCell ref="J5:K5"/>
    <mergeCell ref="J11:J12"/>
    <mergeCell ref="J13:J14"/>
    <mergeCell ref="J4:K4"/>
    <mergeCell ref="G5:G7"/>
    <mergeCell ref="J29:K29"/>
    <mergeCell ref="J32:K32"/>
    <mergeCell ref="J34:K34"/>
    <mergeCell ref="J33:K33"/>
    <mergeCell ref="J24:J25"/>
    <mergeCell ref="K24:L25"/>
    <mergeCell ref="J27:K27"/>
    <mergeCell ref="L11:L12"/>
    <mergeCell ref="L13:L14"/>
    <mergeCell ref="J21:K21"/>
    <mergeCell ref="J16:J17"/>
    <mergeCell ref="K16:L17"/>
    <mergeCell ref="J19:K19"/>
  </mergeCells>
  <pageMargins left="0.19685039370078741" right="0.19685039370078741" top="0.19685039370078741" bottom="0.19685039370078741" header="0.19685039370078741" footer="0.19685039370078741"/>
  <pageSetup paperSize="9" orientation="landscape" r:id="rId1"/>
  <ignoredErrors>
    <ignoredError sqref="L2:L3 K11 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zoomScaleNormal="100" workbookViewId="0">
      <selection activeCell="A30" sqref="A30"/>
    </sheetView>
  </sheetViews>
  <sheetFormatPr baseColWidth="10" defaultRowHeight="15" x14ac:dyDescent="0.25"/>
  <cols>
    <col min="1" max="1" width="11.85546875" bestFit="1" customWidth="1"/>
    <col min="2" max="2" width="15" customWidth="1"/>
    <col min="3" max="3" width="14.140625" bestFit="1" customWidth="1"/>
    <col min="4" max="4" width="12.42578125" bestFit="1" customWidth="1"/>
    <col min="5" max="6" width="14.140625" bestFit="1" customWidth="1"/>
    <col min="7" max="7" width="16.28515625" customWidth="1"/>
    <col min="8" max="8" width="11.7109375" bestFit="1" customWidth="1"/>
  </cols>
  <sheetData>
    <row r="2" spans="1:9" ht="18.75" x14ac:dyDescent="0.25">
      <c r="C2" s="525" t="s">
        <v>273</v>
      </c>
      <c r="D2" s="525"/>
      <c r="E2" s="525"/>
      <c r="F2" s="525"/>
      <c r="G2" s="525"/>
      <c r="H2" s="525"/>
      <c r="I2" s="525"/>
    </row>
    <row r="4" spans="1:9" x14ac:dyDescent="0.25">
      <c r="C4" s="551" t="s">
        <v>79</v>
      </c>
      <c r="D4" s="559" t="s">
        <v>311</v>
      </c>
      <c r="E4" s="560"/>
      <c r="F4" s="561"/>
      <c r="G4" s="553" t="s">
        <v>312</v>
      </c>
      <c r="H4" s="434"/>
      <c r="I4" s="554"/>
    </row>
    <row r="5" spans="1:9" ht="15" customHeight="1" x14ac:dyDescent="0.25">
      <c r="B5" s="260"/>
      <c r="C5" s="552"/>
      <c r="D5" s="261" t="s">
        <v>85</v>
      </c>
      <c r="E5" s="262" t="s">
        <v>265</v>
      </c>
      <c r="F5" s="263" t="s">
        <v>266</v>
      </c>
      <c r="G5" s="264" t="s">
        <v>276</v>
      </c>
      <c r="H5" s="265" t="s">
        <v>275</v>
      </c>
      <c r="I5" s="247" t="s">
        <v>124</v>
      </c>
    </row>
    <row r="6" spans="1:9" x14ac:dyDescent="0.25">
      <c r="A6" s="559" t="s">
        <v>277</v>
      </c>
      <c r="B6" s="561"/>
      <c r="C6" s="275"/>
      <c r="D6" s="266">
        <f>'Actvidad de la Empresa'!J12</f>
        <v>10950</v>
      </c>
      <c r="E6" s="267">
        <f>'Actvidad de la Empresa'!J14</f>
        <v>10950</v>
      </c>
      <c r="F6" s="268">
        <f>'Actvidad de la Empresa'!K14</f>
        <v>25546.350000000002</v>
      </c>
      <c r="G6" s="272">
        <f>'Actvidad de la Empresa'!M12</f>
        <v>3650</v>
      </c>
      <c r="H6" s="273">
        <f>'Actvidad de la Empresa'!L21</f>
        <v>600000</v>
      </c>
      <c r="I6" s="274">
        <f>D7</f>
        <v>802963.5</v>
      </c>
    </row>
    <row r="7" spans="1:9" x14ac:dyDescent="0.25">
      <c r="A7" s="568"/>
      <c r="B7" s="569"/>
      <c r="C7" s="77"/>
      <c r="D7" s="269">
        <f>SUM(E7:F7)</f>
        <v>802963.5</v>
      </c>
      <c r="E7" s="270">
        <f>'Actvidad de la Empresa'!J15</f>
        <v>547500</v>
      </c>
      <c r="F7" s="271">
        <f>'Actvidad de la Empresa'!K15</f>
        <v>255463.50000000003</v>
      </c>
      <c r="G7" s="42"/>
      <c r="H7" s="157"/>
      <c r="I7" s="100"/>
    </row>
    <row r="8" spans="1:9" x14ac:dyDescent="0.25">
      <c r="A8" s="466" t="s">
        <v>303</v>
      </c>
      <c r="B8" s="467"/>
      <c r="C8" s="555">
        <f>D10+G10</f>
        <v>810462.82799999998</v>
      </c>
      <c r="D8" s="211"/>
      <c r="E8" s="549" t="s">
        <v>225</v>
      </c>
      <c r="F8" s="550"/>
      <c r="G8" s="211"/>
      <c r="H8" s="549" t="s">
        <v>225</v>
      </c>
      <c r="I8" s="550"/>
    </row>
    <row r="9" spans="1:9" x14ac:dyDescent="0.25">
      <c r="A9" s="468"/>
      <c r="B9" s="469"/>
      <c r="C9" s="556"/>
      <c r="D9" s="240" t="s">
        <v>85</v>
      </c>
      <c r="E9" s="242" t="s">
        <v>314</v>
      </c>
      <c r="F9" s="241" t="s">
        <v>315</v>
      </c>
      <c r="G9" s="240" t="s">
        <v>85</v>
      </c>
      <c r="H9" s="242" t="s">
        <v>316</v>
      </c>
      <c r="I9" s="241" t="s">
        <v>315</v>
      </c>
    </row>
    <row r="10" spans="1:9" x14ac:dyDescent="0.25">
      <c r="A10" s="541"/>
      <c r="B10" s="542"/>
      <c r="C10" s="557"/>
      <c r="D10" s="276">
        <f>'Actvidad de la Empresa'!B14</f>
        <v>270200</v>
      </c>
      <c r="E10" s="277">
        <f>(D10/365)/D7</f>
        <v>9.2192730130664685E-4</v>
      </c>
      <c r="F10" s="278">
        <f>D10/D7</f>
        <v>0.33650346497692613</v>
      </c>
      <c r="G10" s="276">
        <f>'Actvidad de la Empresa'!B15</f>
        <v>540262.82799999998</v>
      </c>
      <c r="H10" s="279">
        <f>G10/H6</f>
        <v>0.9004380466666666</v>
      </c>
      <c r="I10" s="280">
        <f>G10/I6</f>
        <v>0.67283609778028508</v>
      </c>
    </row>
    <row r="11" spans="1:9" x14ac:dyDescent="0.25">
      <c r="A11" s="466" t="s">
        <v>304</v>
      </c>
      <c r="B11" s="467"/>
      <c r="C11" s="539">
        <f>D11+G11</f>
        <v>108377.84333333334</v>
      </c>
      <c r="D11" s="281">
        <f>'Modelo de Cta Analitica'!B32</f>
        <v>44462.83</v>
      </c>
      <c r="E11" s="292">
        <f>(D11/D7)/365</f>
        <v>1.517079824957669E-4</v>
      </c>
      <c r="F11" s="293">
        <f>D11/D7</f>
        <v>5.5373413610954922E-2</v>
      </c>
      <c r="G11" s="281">
        <f>'Modelo de Cta Analitica'!G32</f>
        <v>63915.013333333336</v>
      </c>
      <c r="H11" s="294">
        <f>G11/H6</f>
        <v>0.10652502222222222</v>
      </c>
      <c r="I11" s="295">
        <f>G11/I6</f>
        <v>7.9598902482283865E-2</v>
      </c>
    </row>
    <row r="12" spans="1:9" x14ac:dyDescent="0.25">
      <c r="A12" s="541"/>
      <c r="B12" s="542"/>
      <c r="C12" s="540"/>
      <c r="D12" s="42"/>
      <c r="E12" s="157"/>
      <c r="F12" s="100"/>
      <c r="G12" s="42"/>
      <c r="H12" s="157"/>
      <c r="I12" s="100"/>
    </row>
    <row r="13" spans="1:9" x14ac:dyDescent="0.25">
      <c r="A13" s="466" t="s">
        <v>305</v>
      </c>
      <c r="B13" s="467"/>
      <c r="C13" s="282">
        <f>C8-C11</f>
        <v>702084.9846666666</v>
      </c>
      <c r="D13" s="543">
        <f>D10-D11</f>
        <v>225737.16999999998</v>
      </c>
      <c r="E13" s="544"/>
      <c r="F13" s="545"/>
      <c r="G13" s="543">
        <f>G10-G11</f>
        <v>476347.81466666667</v>
      </c>
      <c r="H13" s="544"/>
      <c r="I13" s="545"/>
    </row>
    <row r="14" spans="1:9" x14ac:dyDescent="0.25">
      <c r="A14" s="541"/>
      <c r="B14" s="542"/>
      <c r="C14" s="283">
        <f>C13/C8</f>
        <v>0.86627660197472578</v>
      </c>
      <c r="D14" s="526">
        <f>D13/D10</f>
        <v>0.83544474463360463</v>
      </c>
      <c r="E14" s="527"/>
      <c r="F14" s="528"/>
      <c r="G14" s="526">
        <f>G13/G10</f>
        <v>0.88169644472868802</v>
      </c>
      <c r="H14" s="527"/>
      <c r="I14" s="528"/>
    </row>
    <row r="15" spans="1:9" x14ac:dyDescent="0.25">
      <c r="A15" s="211" t="s">
        <v>306</v>
      </c>
      <c r="B15" s="23"/>
      <c r="C15" s="284">
        <v>0</v>
      </c>
      <c r="D15" s="562">
        <v>0</v>
      </c>
      <c r="E15" s="563"/>
      <c r="F15" s="564"/>
      <c r="G15" s="562">
        <v>0</v>
      </c>
      <c r="H15" s="563"/>
      <c r="I15" s="564"/>
    </row>
    <row r="16" spans="1:9" x14ac:dyDescent="0.25">
      <c r="A16" s="42" t="s">
        <v>317</v>
      </c>
      <c r="B16" s="100"/>
      <c r="C16" s="285">
        <v>0</v>
      </c>
      <c r="D16" s="565">
        <v>0</v>
      </c>
      <c r="E16" s="566"/>
      <c r="F16" s="567"/>
      <c r="G16" s="565">
        <v>0</v>
      </c>
      <c r="H16" s="566"/>
      <c r="I16" s="567"/>
    </row>
    <row r="17" spans="1:9" x14ac:dyDescent="0.25">
      <c r="A17" s="466" t="s">
        <v>307</v>
      </c>
      <c r="B17" s="467"/>
      <c r="C17" s="282">
        <f>C13-C15-C16</f>
        <v>702084.9846666666</v>
      </c>
      <c r="D17" s="543">
        <f>D13-D15-D16</f>
        <v>225737.16999999998</v>
      </c>
      <c r="E17" s="544"/>
      <c r="F17" s="545"/>
      <c r="G17" s="543">
        <f>G13-G15-G16</f>
        <v>476347.81466666667</v>
      </c>
      <c r="H17" s="544"/>
      <c r="I17" s="545"/>
    </row>
    <row r="18" spans="1:9" x14ac:dyDescent="0.25">
      <c r="A18" s="541"/>
      <c r="B18" s="542"/>
      <c r="C18" s="283">
        <f>C17/C8</f>
        <v>0.86627660197472578</v>
      </c>
      <c r="D18" s="546">
        <f>D17/D10</f>
        <v>0.83544474463360463</v>
      </c>
      <c r="E18" s="547"/>
      <c r="F18" s="548"/>
      <c r="G18" s="526">
        <f>G17/G10</f>
        <v>0.88169644472868802</v>
      </c>
      <c r="H18" s="527"/>
      <c r="I18" s="528"/>
    </row>
    <row r="19" spans="1:9" x14ac:dyDescent="0.25">
      <c r="A19" s="535" t="s">
        <v>318</v>
      </c>
      <c r="B19" s="536"/>
      <c r="C19" s="539">
        <f>D19+G19</f>
        <v>291101</v>
      </c>
      <c r="D19" s="286">
        <f>'Costes Fijos y Variables'!E52</f>
        <v>97748</v>
      </c>
      <c r="E19" s="292">
        <f>(D19/D7)/365</f>
        <v>3.3351794910481907E-4</v>
      </c>
      <c r="F19" s="293">
        <f>D19/D7</f>
        <v>0.12173405142325897</v>
      </c>
      <c r="G19" s="286">
        <f>'Costes Fijos y Variables'!H52</f>
        <v>193353</v>
      </c>
      <c r="H19" s="294">
        <f>G19/H6</f>
        <v>0.32225500000000001</v>
      </c>
      <c r="I19" s="295">
        <f>G19/I6</f>
        <v>0.24079923931785194</v>
      </c>
    </row>
    <row r="20" spans="1:9" x14ac:dyDescent="0.25">
      <c r="A20" s="537"/>
      <c r="B20" s="538"/>
      <c r="C20" s="540"/>
      <c r="D20" s="42"/>
      <c r="E20" s="157"/>
      <c r="F20" s="100"/>
      <c r="G20" s="42"/>
      <c r="H20" s="157"/>
      <c r="I20" s="100"/>
    </row>
    <row r="21" spans="1:9" x14ac:dyDescent="0.25">
      <c r="A21" s="466" t="s">
        <v>319</v>
      </c>
      <c r="B21" s="467"/>
      <c r="C21" s="287">
        <f>C17-C19</f>
        <v>410983.9846666666</v>
      </c>
      <c r="D21" s="543">
        <f>D17-D19</f>
        <v>127989.16999999998</v>
      </c>
      <c r="E21" s="544"/>
      <c r="F21" s="545"/>
      <c r="G21" s="543">
        <f>G17-G19</f>
        <v>282994.81466666667</v>
      </c>
      <c r="H21" s="544"/>
      <c r="I21" s="545"/>
    </row>
    <row r="22" spans="1:9" x14ac:dyDescent="0.25">
      <c r="A22" s="541"/>
      <c r="B22" s="542"/>
      <c r="C22" s="283">
        <f>C21/C8</f>
        <v>0.50709788341664275</v>
      </c>
      <c r="D22" s="526">
        <f>D21/D10</f>
        <v>0.47368308660251657</v>
      </c>
      <c r="E22" s="527"/>
      <c r="F22" s="528"/>
      <c r="G22" s="526">
        <f>G21/G10</f>
        <v>0.52380952380952384</v>
      </c>
      <c r="H22" s="527"/>
      <c r="I22" s="528"/>
    </row>
    <row r="23" spans="1:9" x14ac:dyDescent="0.25">
      <c r="A23" s="211" t="s">
        <v>320</v>
      </c>
      <c r="B23" s="23"/>
      <c r="C23" s="288">
        <f>SUM(C24:C25)</f>
        <v>127110</v>
      </c>
    </row>
    <row r="24" spans="1:9" x14ac:dyDescent="0.25">
      <c r="A24" s="529" t="s">
        <v>321</v>
      </c>
      <c r="B24" s="530"/>
      <c r="C24" s="289">
        <f>'Costes Fijos y Variables'!K52</f>
        <v>79001</v>
      </c>
    </row>
    <row r="25" spans="1:9" x14ac:dyDescent="0.25">
      <c r="A25" s="531" t="s">
        <v>216</v>
      </c>
      <c r="B25" s="532"/>
      <c r="C25" s="290">
        <f>'Costes Fijos y Variables'!N52</f>
        <v>48109</v>
      </c>
      <c r="H25" s="259"/>
      <c r="I25" s="259"/>
    </row>
    <row r="26" spans="1:9" x14ac:dyDescent="0.25">
      <c r="A26" s="533" t="s">
        <v>308</v>
      </c>
      <c r="B26" s="534"/>
      <c r="C26" s="291">
        <f>C21-C23</f>
        <v>283873.9846666666</v>
      </c>
      <c r="H26" s="558"/>
      <c r="I26" s="558"/>
    </row>
    <row r="27" spans="1:9" x14ac:dyDescent="0.25">
      <c r="G27" s="104"/>
      <c r="H27" s="194"/>
      <c r="I27" s="194"/>
    </row>
  </sheetData>
  <mergeCells count="36">
    <mergeCell ref="A6:B7"/>
    <mergeCell ref="A8:B10"/>
    <mergeCell ref="A11:B12"/>
    <mergeCell ref="C11:C12"/>
    <mergeCell ref="A13:B14"/>
    <mergeCell ref="C4:C5"/>
    <mergeCell ref="G4:I4"/>
    <mergeCell ref="C8:C10"/>
    <mergeCell ref="H26:I26"/>
    <mergeCell ref="D4:F4"/>
    <mergeCell ref="E8:F8"/>
    <mergeCell ref="D13:F13"/>
    <mergeCell ref="D14:F14"/>
    <mergeCell ref="G13:I13"/>
    <mergeCell ref="G14:I14"/>
    <mergeCell ref="D15:F15"/>
    <mergeCell ref="G15:I15"/>
    <mergeCell ref="D16:F16"/>
    <mergeCell ref="G16:I16"/>
    <mergeCell ref="G21:I21"/>
    <mergeCell ref="C2:I2"/>
    <mergeCell ref="G22:I22"/>
    <mergeCell ref="A24:B24"/>
    <mergeCell ref="A25:B25"/>
    <mergeCell ref="A26:B26"/>
    <mergeCell ref="A19:B20"/>
    <mergeCell ref="C19:C20"/>
    <mergeCell ref="A21:B22"/>
    <mergeCell ref="D21:F21"/>
    <mergeCell ref="D22:F22"/>
    <mergeCell ref="A17:B18"/>
    <mergeCell ref="D17:F17"/>
    <mergeCell ref="G17:I17"/>
    <mergeCell ref="D18:F18"/>
    <mergeCell ref="G18:I18"/>
    <mergeCell ref="H8:I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21" sqref="E21"/>
    </sheetView>
  </sheetViews>
  <sheetFormatPr baseColWidth="10" defaultRowHeight="15" x14ac:dyDescent="0.25"/>
  <cols>
    <col min="2" max="2" width="17" customWidth="1"/>
    <col min="3" max="3" width="18.5703125" customWidth="1"/>
    <col min="5" max="5" width="16.42578125" customWidth="1"/>
    <col min="6" max="6" width="16.85546875" customWidth="1"/>
    <col min="8" max="9" width="19" customWidth="1"/>
  </cols>
  <sheetData>
    <row r="1" spans="2:9" x14ac:dyDescent="0.25">
      <c r="B1" s="15" t="s">
        <v>38</v>
      </c>
      <c r="E1" s="15" t="s">
        <v>39</v>
      </c>
      <c r="H1" s="15" t="s">
        <v>39</v>
      </c>
    </row>
    <row r="2" spans="2:9" x14ac:dyDescent="0.25">
      <c r="B2" t="s">
        <v>58</v>
      </c>
      <c r="E2" t="s">
        <v>58</v>
      </c>
      <c r="H2" t="s">
        <v>58</v>
      </c>
    </row>
    <row r="3" spans="2:9" x14ac:dyDescent="0.25">
      <c r="B3" s="17" t="s">
        <v>49</v>
      </c>
      <c r="C3" s="17" t="s">
        <v>52</v>
      </c>
      <c r="E3" s="17" t="s">
        <v>49</v>
      </c>
      <c r="F3" s="17" t="s">
        <v>52</v>
      </c>
      <c r="H3" s="17" t="s">
        <v>49</v>
      </c>
      <c r="I3" s="17" t="s">
        <v>52</v>
      </c>
    </row>
    <row r="4" spans="2:9" x14ac:dyDescent="0.25">
      <c r="B4" s="16" t="s">
        <v>50</v>
      </c>
      <c r="C4" s="16" t="s">
        <v>53</v>
      </c>
      <c r="E4" s="16" t="s">
        <v>60</v>
      </c>
      <c r="F4" s="16" t="s">
        <v>62</v>
      </c>
      <c r="H4" s="16" t="s">
        <v>64</v>
      </c>
      <c r="I4" s="16" t="s">
        <v>66</v>
      </c>
    </row>
    <row r="5" spans="2:9" x14ac:dyDescent="0.25">
      <c r="B5" s="16" t="s">
        <v>51</v>
      </c>
      <c r="C5" s="16" t="s">
        <v>54</v>
      </c>
      <c r="E5" s="16" t="s">
        <v>51</v>
      </c>
      <c r="F5" s="16" t="s">
        <v>51</v>
      </c>
      <c r="H5" s="16" t="s">
        <v>51</v>
      </c>
      <c r="I5" s="16" t="s">
        <v>51</v>
      </c>
    </row>
    <row r="6" spans="2:9" x14ac:dyDescent="0.25">
      <c r="C6" s="16" t="s">
        <v>51</v>
      </c>
      <c r="E6" s="17" t="s">
        <v>30</v>
      </c>
      <c r="F6" s="17" t="s">
        <v>56</v>
      </c>
      <c r="H6" s="17" t="s">
        <v>30</v>
      </c>
      <c r="I6" s="17" t="s">
        <v>56</v>
      </c>
    </row>
    <row r="7" spans="2:9" x14ac:dyDescent="0.25">
      <c r="B7" s="17" t="s">
        <v>30</v>
      </c>
      <c r="C7" s="17" t="s">
        <v>56</v>
      </c>
      <c r="E7" s="16" t="s">
        <v>61</v>
      </c>
      <c r="F7" s="16" t="s">
        <v>63</v>
      </c>
      <c r="H7" s="16" t="s">
        <v>65</v>
      </c>
      <c r="I7" s="16" t="s">
        <v>67</v>
      </c>
    </row>
    <row r="8" spans="2:9" x14ac:dyDescent="0.25">
      <c r="B8" s="16" t="s">
        <v>55</v>
      </c>
      <c r="C8" s="16" t="s">
        <v>57</v>
      </c>
      <c r="E8" s="16" t="s">
        <v>51</v>
      </c>
      <c r="F8" s="16" t="s">
        <v>51</v>
      </c>
      <c r="H8" s="16" t="s">
        <v>51</v>
      </c>
      <c r="I8" s="16" t="s">
        <v>51</v>
      </c>
    </row>
    <row r="9" spans="2:9" x14ac:dyDescent="0.25">
      <c r="B9" s="16" t="s">
        <v>51</v>
      </c>
      <c r="C9" s="16" t="s">
        <v>51</v>
      </c>
      <c r="E9" s="17" t="s">
        <v>47</v>
      </c>
      <c r="H9" s="17" t="s">
        <v>47</v>
      </c>
    </row>
    <row r="10" spans="2:9" x14ac:dyDescent="0.25">
      <c r="B10" s="17" t="s">
        <v>47</v>
      </c>
      <c r="E10" s="16" t="s">
        <v>59</v>
      </c>
      <c r="H10" s="16" t="s">
        <v>59</v>
      </c>
    </row>
    <row r="11" spans="2:9" x14ac:dyDescent="0.25">
      <c r="B11" s="16" t="s">
        <v>59</v>
      </c>
    </row>
    <row r="14" spans="2:9" x14ac:dyDescent="0.25">
      <c r="H14" s="17" t="s">
        <v>49</v>
      </c>
      <c r="I14" s="17" t="s">
        <v>52</v>
      </c>
    </row>
    <row r="15" spans="2:9" x14ac:dyDescent="0.25">
      <c r="H15" s="16" t="s">
        <v>51</v>
      </c>
      <c r="I15" s="16" t="s">
        <v>51</v>
      </c>
    </row>
    <row r="16" spans="2:9" x14ac:dyDescent="0.25">
      <c r="H16" s="17" t="s">
        <v>30</v>
      </c>
      <c r="I16" s="17" t="s">
        <v>56</v>
      </c>
    </row>
    <row r="17" spans="8:9" x14ac:dyDescent="0.25">
      <c r="H17" s="16" t="s">
        <v>51</v>
      </c>
      <c r="I17" s="16" t="s">
        <v>51</v>
      </c>
    </row>
    <row r="18" spans="8:9" x14ac:dyDescent="0.25">
      <c r="H18" s="17" t="s">
        <v>47</v>
      </c>
      <c r="I18" s="16"/>
    </row>
    <row r="19" spans="8:9" x14ac:dyDescent="0.25">
      <c r="H19" s="16" t="s">
        <v>51</v>
      </c>
    </row>
  </sheetData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Actvidad de la Empresa</vt:lpstr>
      <vt:lpstr>Gtos Periodo</vt:lpstr>
      <vt:lpstr>Estimación y Asignacion Costes</vt:lpstr>
      <vt:lpstr>Costes Fijos y Variables</vt:lpstr>
      <vt:lpstr>Notas Dpto Alamcenaje</vt:lpstr>
      <vt:lpstr>Notas Dpto de Transportes</vt:lpstr>
      <vt:lpstr>Modelo de Cta Analitica</vt:lpstr>
      <vt:lpstr>Análisis de Rdtos y Rtdos</vt:lpstr>
      <vt:lpstr>Gtos de los Dpots Visio</vt:lpstr>
      <vt:lpstr>AlmacenNotaA</vt:lpstr>
      <vt:lpstr>AlmacenNotaB1</vt:lpstr>
      <vt:lpstr>gasoil</vt:lpstr>
      <vt:lpstr>gasolina</vt:lpstr>
      <vt:lpstr>NotaF2</vt:lpstr>
      <vt:lpstr>TransA</vt:lpstr>
      <vt:lpstr>TransB1</vt:lpstr>
      <vt:lpstr>TransB2</vt:lpstr>
      <vt:lpstr>TransD</vt:lpstr>
      <vt:lpstr>TransE</vt:lpstr>
      <vt:lpstr>TransF1</vt:lpstr>
      <vt:lpstr>TransF2</vt:lpstr>
    </vt:vector>
  </TitlesOfParts>
  <Company>ull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2010-11-03T07:36:54Z</cp:lastPrinted>
  <dcterms:created xsi:type="dcterms:W3CDTF">2008-02-03T18:34:43Z</dcterms:created>
  <dcterms:modified xsi:type="dcterms:W3CDTF">2014-11-24T16:59:49Z</dcterms:modified>
</cp:coreProperties>
</file>